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sentechnologies-my.sharepoint.com/personal/hstreicher_hantech_com/Documents/"/>
    </mc:Choice>
  </mc:AlternateContent>
  <xr:revisionPtr revIDLastSave="1" documentId="8_{C603169B-6BBB-4FD0-95C8-2B4609075189}" xr6:coauthVersionLast="47" xr6:coauthVersionMax="47" xr10:uidLastSave="{B339BB3C-285D-4955-87E8-9EE06ECC73B4}"/>
  <bookViews>
    <workbookView xWindow="-98" yWindow="-98" windowWidth="21795" windowHeight="13875" xr2:uid="{C4180DA4-762A-4662-8FED-F2FECEDAEC5F}"/>
  </bookViews>
  <sheets>
    <sheet name="Instructions" sheetId="5" r:id="rId1"/>
    <sheet name="ROI Model" sheetId="1" r:id="rId2"/>
    <sheet name="ROI Chart" sheetId="3" r:id="rId3"/>
    <sheet name="Temperature Chart" sheetId="4" r:id="rId4"/>
  </sheets>
  <externalReferences>
    <externalReference r:id="rId5"/>
  </externalReferences>
  <definedNames>
    <definedName name="FluidType">[1]Lists!$J$6:$J$7</definedName>
    <definedName name="ParameterList">[1]Lists!$H$6:$H$170</definedName>
    <definedName name="_xlnm.Print_Area" localSheetId="0">Instructions!$A$4:$M$48</definedName>
    <definedName name="_xlnm.Print_Area" localSheetId="1">'ROI Model'!$A$1:$L$50</definedName>
    <definedName name="zzMG_Chart1" comment="Mekko Graphics Chart. Please do not change text below_x000a_~MGGRH Range Name zzMG_Chart1~~_x000a_Range Id aa06c08d-8044-4d49-ac0b-e03d2006a199~~_x000a_Location ='ROI Model'!$D$6:$I$18~~_x000a_Last Changed 638743838660292257~~_x000a_NamedSource~~">'ROI Model'!$E$12:$J$24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3" i="1"/>
  <c r="E20" i="1"/>
  <c r="E40" i="1"/>
  <c r="K12" i="1"/>
  <c r="C7" i="1"/>
  <c r="K13" i="1" l="1"/>
  <c r="C41" i="1"/>
  <c r="J34" i="1" s="1"/>
  <c r="C27" i="1"/>
  <c r="G32" i="1" l="1"/>
  <c r="I30" i="1"/>
  <c r="F28" i="1"/>
  <c r="G33" i="1"/>
  <c r="I31" i="1"/>
  <c r="F29" i="1"/>
  <c r="G34" i="1"/>
  <c r="I32" i="1"/>
  <c r="F30" i="1"/>
  <c r="H28" i="1"/>
  <c r="I33" i="1"/>
  <c r="F31" i="1"/>
  <c r="H29" i="1"/>
  <c r="I34" i="1"/>
  <c r="F32" i="1"/>
  <c r="H30" i="1"/>
  <c r="C20" i="1" s="1" a="1"/>
  <c r="C20" i="1" s="1"/>
  <c r="J28" i="1"/>
  <c r="F33" i="1"/>
  <c r="H31" i="1"/>
  <c r="J29" i="1"/>
  <c r="F34" i="1"/>
  <c r="H32" i="1"/>
  <c r="J30" i="1"/>
  <c r="G28" i="1"/>
  <c r="H33" i="1"/>
  <c r="J31" i="1"/>
  <c r="G29" i="1"/>
  <c r="H34" i="1"/>
  <c r="J32" i="1"/>
  <c r="G30" i="1"/>
  <c r="I28" i="1"/>
  <c r="J33" i="1"/>
  <c r="G31" i="1"/>
  <c r="I29" i="1"/>
  <c r="F14" i="1"/>
  <c r="C21" i="1" l="1"/>
  <c r="F20" i="1" s="1"/>
  <c r="J15" i="1"/>
  <c r="I15" i="1"/>
  <c r="G18" i="1"/>
  <c r="H18" i="1"/>
  <c r="I18" i="1"/>
  <c r="J18" i="1"/>
  <c r="F18" i="1"/>
  <c r="H43" i="1" l="1"/>
  <c r="I20" i="1"/>
  <c r="J20" i="1"/>
  <c r="G20" i="1"/>
  <c r="H20" i="1"/>
  <c r="K14" i="1"/>
  <c r="K20" i="1"/>
  <c r="C24" i="1"/>
  <c r="K15" i="1"/>
  <c r="K40" i="1"/>
  <c r="K18" i="1"/>
  <c r="F35" i="1"/>
  <c r="G35" i="1"/>
  <c r="H35" i="1"/>
  <c r="I35" i="1"/>
  <c r="J35" i="1"/>
  <c r="F16" i="1"/>
  <c r="H15" i="1"/>
  <c r="G15" i="1"/>
  <c r="J14" i="1"/>
  <c r="I14" i="1"/>
  <c r="H14" i="1"/>
  <c r="G14" i="1"/>
  <c r="K16" i="1" l="1"/>
  <c r="C25" i="1"/>
  <c r="C26" i="1"/>
  <c r="F23" i="1"/>
  <c r="F19" i="1"/>
  <c r="F24" i="1" s="1"/>
  <c r="F17" i="1"/>
  <c r="G16" i="1"/>
  <c r="J16" i="1"/>
  <c r="I16" i="1"/>
  <c r="I19" i="1" s="1"/>
  <c r="H16" i="1"/>
  <c r="H19" i="1" s="1"/>
  <c r="H46" i="1"/>
  <c r="G43" i="1"/>
  <c r="I46" i="1"/>
  <c r="F43" i="1"/>
  <c r="G46" i="1"/>
  <c r="I44" i="1"/>
  <c r="F46" i="1"/>
  <c r="H44" i="1"/>
  <c r="G44" i="1"/>
  <c r="I47" i="1"/>
  <c r="F44" i="1"/>
  <c r="H47" i="1"/>
  <c r="G47" i="1"/>
  <c r="I45" i="1"/>
  <c r="F47" i="1"/>
  <c r="H45" i="1"/>
  <c r="G45" i="1"/>
  <c r="I43" i="1"/>
  <c r="F45" i="1"/>
  <c r="K17" i="1" l="1"/>
  <c r="K19" i="1"/>
  <c r="K24" i="1" s="1"/>
  <c r="K42" i="1" s="1"/>
  <c r="K23" i="1"/>
  <c r="J42" i="1" s="1"/>
  <c r="J45" i="1" s="1"/>
  <c r="G19" i="1"/>
  <c r="G21" i="1" s="1"/>
  <c r="F21" i="1"/>
  <c r="J23" i="1"/>
  <c r="J19" i="1"/>
  <c r="J21" i="1" s="1"/>
  <c r="I17" i="1"/>
  <c r="J17" i="1"/>
  <c r="H23" i="1"/>
  <c r="H21" i="1"/>
  <c r="I23" i="1"/>
  <c r="I21" i="1"/>
  <c r="I24" i="1"/>
  <c r="H17" i="1"/>
  <c r="G17" i="1"/>
  <c r="G23" i="1"/>
  <c r="K21" i="1" l="1"/>
  <c r="J46" i="1"/>
  <c r="J44" i="1"/>
  <c r="J47" i="1"/>
  <c r="G24" i="1"/>
  <c r="K43" i="1"/>
  <c r="K44" i="1"/>
  <c r="K45" i="1"/>
  <c r="K46" i="1"/>
  <c r="K47" i="1"/>
  <c r="J43" i="1"/>
  <c r="H24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Harold Streicher</author>
  </authors>
  <commentList>
    <comment ref="C12" authorId="0" shapeId="0" xr:uid="{2E0B102B-DFC1-46ED-B627-767CA794D774}">
      <text>
        <r>
          <rPr>
            <b/>
            <sz val="9"/>
            <color indexed="81"/>
            <rFont val="Tahoma"/>
            <family val="2"/>
          </rPr>
          <t>Harold Streicher:</t>
        </r>
        <r>
          <rPr>
            <sz val="9"/>
            <color indexed="81"/>
            <rFont val="Tahoma"/>
            <family val="2"/>
          </rPr>
          <t xml:space="preserve">
5% default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<sst xmlns="http://schemas.openxmlformats.org/spreadsheetml/2006/main" count="68" uniqueCount="64">
  <si>
    <t># of Evaporators</t>
  </si>
  <si>
    <t>kWh/Year</t>
  </si>
  <si>
    <t>Suction Temperature (F)</t>
  </si>
  <si>
    <t>-40F</t>
  </si>
  <si>
    <t>-20F</t>
  </si>
  <si>
    <t>+0F</t>
  </si>
  <si>
    <t>+20F</t>
  </si>
  <si>
    <t>+40F</t>
  </si>
  <si>
    <t>Parasitic Load Savings ($) based on % Leaking Valves</t>
  </si>
  <si>
    <t>Yr</t>
  </si>
  <si>
    <t>Plant Infrastructure</t>
  </si>
  <si>
    <t>Electrical, Control Program &amp; I/O, Installation Labor</t>
  </si>
  <si>
    <t>Sentinel @$900/Unit</t>
  </si>
  <si>
    <t>Reserve for Repair/Replace Defective Valves</t>
  </si>
  <si>
    <t>Valve Bleed/Bypass Rate</t>
  </si>
  <si>
    <t>Sentinel (2x per Evaporator)</t>
  </si>
  <si>
    <t>Plant Infrastructure Investment</t>
  </si>
  <si>
    <t>Estimated Repair Cost/ Valve</t>
  </si>
  <si>
    <t>Total Investment Including Sentinel</t>
  </si>
  <si>
    <t>Total Investment per Evaporator (incl. Sentinel)</t>
  </si>
  <si>
    <t>Evaporators =</t>
  </si>
  <si>
    <t>Suction Temperature</t>
  </si>
  <si>
    <t>Infrastructure Costs/Evaporator</t>
  </si>
  <si>
    <t>ROI Model</t>
  </si>
  <si>
    <t>Incident Rate of Leaking Valves</t>
  </si>
  <si>
    <t>kWh/Year/Valve</t>
  </si>
  <si>
    <t>Results</t>
  </si>
  <si>
    <t>Summary Data per Valve</t>
  </si>
  <si>
    <t>Summary Data per Facility</t>
  </si>
  <si>
    <t>Kilowatt-hours Avoided (kWh/Yr)</t>
  </si>
  <si>
    <t>PotentialParasitic Load Savings per Year</t>
  </si>
  <si>
    <t>Potential Parasitic Load Savings per Year</t>
  </si>
  <si>
    <t>Cloud-based Monitoring Equipment</t>
  </si>
  <si>
    <t># of Evaporators Valve Groups</t>
  </si>
  <si>
    <t>Solenoid Valve Size</t>
  </si>
  <si>
    <t xml:space="preserve">Solenoid Valve Size (1" default) </t>
  </si>
  <si>
    <t>0.5" (13mm)</t>
  </si>
  <si>
    <t>0.75" (20mm)</t>
  </si>
  <si>
    <t>1" (25mm)</t>
  </si>
  <si>
    <t>1.25" (32mm)</t>
  </si>
  <si>
    <t>1.5" (40mm)</t>
  </si>
  <si>
    <t>2" (50mm)</t>
  </si>
  <si>
    <t>2.5" (65mm</t>
  </si>
  <si>
    <t>Hansen Cv</t>
  </si>
  <si>
    <t>3" (80mm)</t>
  </si>
  <si>
    <t>4" (100mm)</t>
  </si>
  <si>
    <t>5" (125 mm)</t>
  </si>
  <si>
    <t>6" (150mm)</t>
  </si>
  <si>
    <t>Cv Correction Factor</t>
  </si>
  <si>
    <t>Temperature Correction Factor (+0F)</t>
  </si>
  <si>
    <t>ROI - Years at stated Bleed &amp; Incident (Leak) Rates</t>
  </si>
  <si>
    <t>Maintence Savings</t>
  </si>
  <si>
    <t>Est. Maintence Savings per Evap/Yr</t>
  </si>
  <si>
    <t>Metric Tons Co2 Reduction (MT Co2/Yr)</t>
  </si>
  <si>
    <t>Extended Life of Asset</t>
  </si>
  <si>
    <t>Blended Energy Rate per $/kWh</t>
  </si>
  <si>
    <t>Sentinel's Savings</t>
  </si>
  <si>
    <t xml:space="preserve">Sentinel's Savings </t>
  </si>
  <si>
    <t>Insert Company Name:</t>
  </si>
  <si>
    <t>Insert Plant Location:</t>
  </si>
  <si>
    <t>Welcome to Sentinel's ROI model designed to provide the required technical basis and financial justification for a specific application. This tool can quickly provide a summary-level investment analysis which is based on the industry-leading Parasitic Load Calculator.</t>
  </si>
  <si>
    <t>ROI Chart tab will show you in real time how your inputs and various conditions provide different levels of investment, savings, and payback.</t>
  </si>
  <si>
    <t xml:space="preserve">The Temperature Chart tab provides a handy visual comparison showing the impact of parasitic loads (kWhr) at different suction temperatures. </t>
  </si>
  <si>
    <r>
      <t xml:space="preserve">In the ROI Model Tab, enter your facility particulars into the "Input" cells highlighted in </t>
    </r>
    <r>
      <rPr>
        <sz val="11"/>
        <color rgb="FFFFC000"/>
        <rFont val="Aptos Narrow"/>
        <family val="2"/>
        <scheme val="minor"/>
      </rPr>
      <t>orange</t>
    </r>
    <r>
      <rPr>
        <sz val="11"/>
        <color theme="0"/>
        <rFont val="Aptos Narrow"/>
        <family val="2"/>
        <scheme val="minor"/>
      </rPr>
      <t>. The summary table provides summary of investments, savings, and payback in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</si>
</sst>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&quot;$&quot;#,##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6"/>
      <color theme="0"/>
      <name val="Aptos Body"/>
    </font>
    <font>
      <b/>
      <i/>
      <sz val="26"/>
      <color theme="0"/>
      <name val="Aptos Body"/>
    </font>
    <font>
      <b/>
      <i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 vertical="center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7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6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9" fontId="0" fillId="3" borderId="4" xfId="3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3" borderId="4" xfId="3" applyFont="1" applyFill="1" applyBorder="1" applyAlignment="1" applyProtection="1">
      <alignment horizontal="center" vertical="center"/>
      <protection locked="0"/>
    </xf>
    <xf numFmtId="167" fontId="0" fillId="3" borderId="4" xfId="2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67" fontId="0" fillId="5" borderId="0" xfId="2" applyNumberFormat="1" applyFont="1" applyFill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 indent="1"/>
      <protection locked="0"/>
    </xf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1" fontId="0" fillId="2" borderId="4" xfId="0" quotePrefix="1" applyNumberFormat="1" applyFill="1" applyBorder="1" applyAlignment="1" applyProtection="1">
      <alignment horizontal="center" vertical="center"/>
      <protection locked="0"/>
    </xf>
    <xf numFmtId="9" fontId="0" fillId="5" borderId="4" xfId="0" applyNumberFormat="1" applyFill="1" applyBorder="1" applyAlignment="1" applyProtection="1">
      <alignment horizontal="center" vertical="center"/>
      <protection locked="0"/>
    </xf>
    <xf numFmtId="12" fontId="0" fillId="6" borderId="4" xfId="0" applyNumberFormat="1" applyFill="1" applyBorder="1" applyAlignment="1" applyProtection="1">
      <alignment horizontal="center" vertical="center"/>
      <protection locked="0"/>
    </xf>
    <xf numFmtId="166" fontId="0" fillId="6" borderId="4" xfId="0" applyNumberFormat="1" applyFill="1" applyBorder="1" applyAlignment="1" applyProtection="1">
      <alignment horizontal="center"/>
      <protection locked="0"/>
    </xf>
    <xf numFmtId="12" fontId="0" fillId="5" borderId="4" xfId="0" applyNumberFormat="1" applyFill="1" applyBorder="1" applyAlignment="1" applyProtection="1">
      <alignment horizontal="center" vertical="center"/>
      <protection locked="0"/>
    </xf>
    <xf numFmtId="166" fontId="0" fillId="5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2" applyNumberFormat="1" applyFont="1" applyFill="1" applyBorder="1" applyAlignment="1" applyProtection="1">
      <alignment horizontal="center" vertical="center" wrapText="1"/>
      <protection locked="0"/>
    </xf>
    <xf numFmtId="9" fontId="0" fillId="2" borderId="4" xfId="0" applyNumberFormat="1" applyFill="1" applyBorder="1" applyAlignment="1" applyProtection="1">
      <alignment horizontal="center" vertical="center" wrapText="1"/>
      <protection locked="0"/>
    </xf>
    <xf numFmtId="1" fontId="0" fillId="5" borderId="4" xfId="2" applyNumberFormat="1" applyFont="1" applyFill="1" applyBorder="1" applyAlignment="1" applyProtection="1">
      <alignment horizontal="center" vertical="center" wrapText="1"/>
      <protection locked="0"/>
    </xf>
    <xf numFmtId="44" fontId="0" fillId="5" borderId="4" xfId="2" applyFont="1" applyFill="1" applyBorder="1" applyAlignment="1" applyProtection="1">
      <alignment horizontal="center" vertical="center" wrapText="1"/>
      <protection locked="0"/>
    </xf>
    <xf numFmtId="1" fontId="0" fillId="5" borderId="4" xfId="2" applyNumberFormat="1" applyFont="1" applyFill="1" applyBorder="1" applyAlignment="1" applyProtection="1">
      <alignment horizontal="center" vertical="center"/>
      <protection locked="0"/>
    </xf>
    <xf numFmtId="164" fontId="0" fillId="5" borderId="0" xfId="2" applyNumberFormat="1" applyFont="1" applyFill="1" applyProtection="1">
      <protection locked="0"/>
    </xf>
    <xf numFmtId="164" fontId="0" fillId="5" borderId="4" xfId="2" applyNumberFormat="1" applyFont="1" applyFill="1" applyBorder="1" applyProtection="1"/>
    <xf numFmtId="164" fontId="1" fillId="5" borderId="4" xfId="2" applyNumberFormat="1" applyFont="1" applyFill="1" applyBorder="1" applyProtection="1"/>
    <xf numFmtId="164" fontId="2" fillId="5" borderId="4" xfId="2" applyNumberFormat="1" applyFont="1" applyFill="1" applyBorder="1" applyProtection="1"/>
    <xf numFmtId="165" fontId="0" fillId="5" borderId="4" xfId="1" applyNumberFormat="1" applyFont="1" applyFill="1" applyBorder="1" applyProtection="1"/>
    <xf numFmtId="164" fontId="0" fillId="5" borderId="4" xfId="2" applyNumberFormat="1" applyFont="1" applyFill="1" applyBorder="1" applyAlignment="1" applyProtection="1">
      <alignment horizontal="center" vertical="center" wrapText="1"/>
    </xf>
    <xf numFmtId="164" fontId="0" fillId="5" borderId="4" xfId="2" applyNumberFormat="1" applyFont="1" applyFill="1" applyBorder="1" applyAlignment="1" applyProtection="1">
      <alignment horizontal="center"/>
    </xf>
    <xf numFmtId="166" fontId="2" fillId="4" borderId="4" xfId="2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/>
    </xf>
    <xf numFmtId="164" fontId="0" fillId="5" borderId="4" xfId="0" applyNumberFormat="1" applyFill="1" applyBorder="1"/>
    <xf numFmtId="165" fontId="0" fillId="5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595959"/>
      <color rgb="FF000000"/>
      <color rgb="FFFFFFFF"/>
      <color rgb="FFAFCEA9"/>
      <color rgb="FF92C0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chartsheet" Target="chartsheets/sheet2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ROI - Sentinel</a:t>
            </a:r>
            <a:r>
              <a:rPr lang="en-US" baseline="0"/>
              <a:t> Activity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3190749320476"/>
          <c:y val="6.2723257281760883E-2"/>
          <c:w val="0.79654676274878877"/>
          <c:h val="0.82623009586206153"/>
        </c:manualLayout>
      </c:layout>
      <c:lineChart>
        <c:grouping val="standard"/>
        <c:varyColors val="0"/>
        <c:ser>
          <c:idx val="2"/>
          <c:order val="1"/>
          <c:tx>
            <c:strRef>
              <c:f>'ROI Model'!$G$41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6F-4B50-AB7F-6885BC7EA9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F-4B50-AB7F-6885BC7EA9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F-4B50-AB7F-6885BC7EA9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F-4B50-AB7F-6885BC7EA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Model'!$G$42:$G$46</c:f>
              <c:numCache>
                <c:formatCode>_("$"* #,##0_);_("$"* \(#,##0\);_("$"* "-"??_);_(@_)</c:formatCode>
                <c:ptCount val="5"/>
                <c:pt idx="0" formatCode="_(&quot;$&quot;* #,##0.00_);_(&quot;$&quot;* \(#,##0.00\);_(&quot;$&quot;* &quot;-&quot;??_);_(@_)">
                  <c:v>0</c:v>
                </c:pt>
                <c:pt idx="1">
                  <c:v>732.58990203944313</c:v>
                </c:pt>
                <c:pt idx="2">
                  <c:v>1465.1798040788863</c:v>
                </c:pt>
                <c:pt idx="3">
                  <c:v>2197.7697061183294</c:v>
                </c:pt>
                <c:pt idx="4">
                  <c:v>2930.3596081577725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46F-4B50-AB7F-6885BC7EA9A5}"/>
            </c:ext>
          </c:extLst>
        </c:ser>
        <c:ser>
          <c:idx val="3"/>
          <c:order val="2"/>
          <c:tx>
            <c:strRef>
              <c:f>'ROI Model'!$H$41</c:f>
              <c:strCache>
                <c:ptCount val="1"/>
                <c:pt idx="0">
                  <c:v>17%</c:v>
                </c:pt>
              </c:strCache>
            </c:strRef>
          </c:tx>
          <c:spPr>
            <a:ln w="28575" cap="rnd">
              <a:solidFill>
                <a:schemeClr val="accent6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F-4B50-AB7F-6885BC7EA9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F-4B50-AB7F-6885BC7EA9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F-4B50-AB7F-6885BC7EA9A5}"/>
                </c:ext>
              </c:extLst>
            </c:dLbl>
            <c:dLbl>
              <c:idx val="3"/>
              <c:layout>
                <c:manualLayout>
                  <c:x val="-0.11503120977675667"/>
                  <c:y val="-1.81554391503699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ln>
                          <a:noFill/>
                        </a:ln>
                      </a:rPr>
                      <a:t>Field Observation </a:t>
                    </a:r>
                    <a:endParaRPr lang="en-US">
                      <a:ln>
                        <a:noFill/>
                      </a:ln>
                    </a:endParaRP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46F-4B50-AB7F-6885BC7EA9A5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1DE16F-6792-4F63-A857-AF3607771F82}" type="SERIESNAM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n>
                            <a:noFill/>
                          </a:ln>
                          <a:solidFill>
                            <a:sysClr val="windowText" lastClr="000000">
                              <a:lumMod val="65000"/>
                              <a:lumOff val="35000"/>
                            </a:sysClr>
                          </a:solidFill>
                        </a:defRPr>
                      </a:pPr>
                      <a:t>[SERIES NAME]</a:t>
                    </a:fld>
                    <a:r>
                      <a:rPr lang="en-US" baseline="0"/>
                      <a:t> </a:t>
                    </a:r>
                    <a:r>
                      <a:rPr lang="en-US" dirty="0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F0-4EB0-AB1D-3769FD913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Model'!$H$42:$H$46</c:f>
              <c:numCache>
                <c:formatCode>_("$"* #,##0_);_("$"* \(#,##0\);_("$"* "-"??_);_(@_)</c:formatCode>
                <c:ptCount val="5"/>
                <c:pt idx="0" formatCode="_(&quot;$&quot;* #,##0.00_);_(&quot;$&quot;* \(#,##0.00\);_(&quot;$&quot;* &quot;-&quot;??_);_(@_)">
                  <c:v>0</c:v>
                </c:pt>
                <c:pt idx="1">
                  <c:v>1245.4028334670534</c:v>
                </c:pt>
                <c:pt idx="2">
                  <c:v>2490.8056669341067</c:v>
                </c:pt>
                <c:pt idx="3">
                  <c:v>3736.2085004011601</c:v>
                </c:pt>
                <c:pt idx="4">
                  <c:v>4981.6113338682135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046F-4B50-AB7F-6885BC7EA9A5}"/>
            </c:ext>
          </c:extLst>
        </c:ser>
        <c:ser>
          <c:idx val="5"/>
          <c:order val="4"/>
          <c:tx>
            <c:strRef>
              <c:f>'ROI Model'!$J$41</c:f>
              <c:strCache>
                <c:ptCount val="1"/>
                <c:pt idx="0">
                  <c:v>Plant Infrastructure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Model'!$J$42:$J$46</c:f>
              <c:numCache>
                <c:formatCode>_("$"* #,##0_);_("$"* \(#,##0\);_("$"* "-"??_);_(@_)</c:formatCode>
                <c:ptCount val="5"/>
                <c:pt idx="0">
                  <c:v>5755</c:v>
                </c:pt>
                <c:pt idx="1">
                  <c:v>5755</c:v>
                </c:pt>
                <c:pt idx="2">
                  <c:v>5755</c:v>
                </c:pt>
                <c:pt idx="3">
                  <c:v>5755</c:v>
                </c:pt>
                <c:pt idx="4">
                  <c:v>5755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46F-4B50-AB7F-6885BC7EA9A5}"/>
            </c:ext>
          </c:extLst>
        </c:ser>
        <c:ser>
          <c:idx val="6"/>
          <c:order val="5"/>
          <c:tx>
            <c:strRef>
              <c:f>'ROI Model'!$K$41</c:f>
              <c:strCache>
                <c:ptCount val="1"/>
                <c:pt idx="0">
                  <c:v>Sentinel @$900/Unit</c:v>
                </c:pt>
              </c:strCache>
            </c:strRef>
          </c:tx>
          <c:spPr>
            <a:ln w="28575" cap="rnd">
              <a:solidFill>
                <a:schemeClr val="accent6">
                  <a:tint val="62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tint val="83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6F-4B50-AB7F-6885BC7EA9A5}"/>
              </c:ext>
            </c:extLst>
          </c:dPt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Model'!$K$42:$K$46</c:f>
              <c:numCache>
                <c:formatCode>_("$"* #,##0_);_("$"* \(#,##0\);_("$"* "-"??_);_(@_)</c:formatCode>
                <c:ptCount val="5"/>
                <c:pt idx="0">
                  <c:v>7555</c:v>
                </c:pt>
                <c:pt idx="1">
                  <c:v>7555</c:v>
                </c:pt>
                <c:pt idx="2">
                  <c:v>7555</c:v>
                </c:pt>
                <c:pt idx="3">
                  <c:v>7555</c:v>
                </c:pt>
                <c:pt idx="4">
                  <c:v>7555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046F-4B50-AB7F-6885BC7EA9A5}"/>
            </c:ext>
          </c:extLst>
        </c:ser>
        <c:ser>
          <c:idx val="7"/>
          <c:order val="6"/>
          <c:tx>
            <c:strRef>
              <c:f>'ROI Chart'!#REF!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tint val="4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Chart'!#REF!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046F-4B50-AB7F-6885BC7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055871"/>
        <c:axId val="31405827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'ROI Model'!$F$41</c15:sqref>
                        </c15:formulaRef>
                      </c:ext>
                    </c:extLst>
                    <c:strCache>
                      <c:ptCount val="1"/>
                      <c:pt idx="0">
                        <c:v>5%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6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spPr>
                      <a:solidFill>
                        <a:sysClr val="window" lastClr="FFFFFF"/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dk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r"/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2-046F-4B50-AB7F-6885BC7EA9A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'ROI Model'!$E$42:$E$46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'ROI Model'!$F$42:$F$46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5"/>
                      <c:pt idx="0" formatCode="_(&quot;$&quot;* #,##0.00_);_(&quot;$&quot;* \(#,##0.00\);_(&quot;$&quot;* &quot;-&quot;??_);_(@_)">
                        <c:v>0</c:v>
                      </c:pt>
                      <c:pt idx="1">
                        <c:v>366.29495101972157</c:v>
                      </c:pt>
                      <c:pt idx="2">
                        <c:v>732.58990203944313</c:v>
                      </c:pt>
                      <c:pt idx="3">
                        <c:v>1098.8848530591647</c:v>
                      </c:pt>
                      <c:pt idx="4">
                        <c:v>1465.1798040788863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6F-4B50-AB7F-6885BC7EA9A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Model'!$I$41</c15:sqref>
                        </c15:formulaRef>
                      </c:ext>
                    </c:extLst>
                    <c:strCache>
                      <c:ptCount val="1"/>
                      <c:pt idx="0">
                        <c:v>20%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93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Model'!$E$42:$E$46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Model'!$I$42:$I$46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5"/>
                      <c:pt idx="0" formatCode="_(&quot;$&quot;* #,##0.00_);_(&quot;$&quot;* \(#,##0.00\);_(&quot;$&quot;* &quot;-&quot;??_);_(@_)">
                        <c:v>0</c:v>
                      </c:pt>
                      <c:pt idx="1">
                        <c:v>1465.1798040788863</c:v>
                      </c:pt>
                      <c:pt idx="2">
                        <c:v>2930.3596081577725</c:v>
                      </c:pt>
                      <c:pt idx="3">
                        <c:v>4395.5394122366588</c:v>
                      </c:pt>
                      <c:pt idx="4">
                        <c:v>5860.7192163155451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46F-4B50-AB7F-6885BC7EA9A5}"/>
                  </c:ext>
                </c:extLst>
              </c15:ser>
            </c15:filteredLineSeries>
          </c:ext>
        </c:extLst>
      </c:lineChart>
      <c:catAx>
        <c:axId val="314055871"/>
        <c:scaling>
          <c:orientation val="minMax"/>
        </c:scaling>
        <c:delete val="0"/>
        <c:axPos val="b"/>
        <c:numFmt formatCode="0\ &quot;Yr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8271"/>
        <c:crosses val="autoZero"/>
        <c:auto val="1"/>
        <c:lblAlgn val="ctr"/>
        <c:lblOffset val="100"/>
        <c:tickMarkSkip val="12"/>
        <c:noMultiLvlLbl val="0"/>
      </c:catAx>
      <c:valAx>
        <c:axId val="31405827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Total </a:t>
                </a:r>
                <a:r>
                  <a:rPr lang="en-US" b="1" i="0"/>
                  <a:t>Investment</a:t>
                </a:r>
                <a:r>
                  <a:rPr lang="en-US" b="1" baseline="0"/>
                  <a:t> &amp; </a:t>
                </a:r>
                <a:r>
                  <a:rPr lang="en-US" b="1"/>
                  <a:t>Cummulative Savings per</a:t>
                </a:r>
                <a:r>
                  <a:rPr lang="en-US" b="1" baseline="0"/>
                  <a:t> Evaporator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\ &quot;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5871"/>
        <c:crosses val="autoZero"/>
        <c:crossBetween val="midCat"/>
      </c:valAx>
      <c:spPr>
        <a:noFill/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Parasitic Load Potential per Valve at Various Suction Temperatures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19357897328034"/>
          <c:y val="0.10818604187543021"/>
          <c:w val="0.82252555386296289"/>
          <c:h val="0.76229608161122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'ROI Model'!$F$27</c:f>
              <c:strCache>
                <c:ptCount val="1"/>
                <c:pt idx="0">
                  <c:v>-40F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Model'!$F$28:$F$34</c:f>
              <c:numCache>
                <c:formatCode>_(* #,##0_);_(* \(#,##0\);_(* "-"??_);_(@_)</c:formatCode>
                <c:ptCount val="7"/>
                <c:pt idx="0">
                  <c:v>25095.219486642702</c:v>
                </c:pt>
                <c:pt idx="1">
                  <c:v>75099.819869910207</c:v>
                </c:pt>
                <c:pt idx="2">
                  <c:v>124852.94576225</c:v>
                </c:pt>
                <c:pt idx="3">
                  <c:v>248109.83227930201</c:v>
                </c:pt>
                <c:pt idx="4">
                  <c:v>369716.149618002</c:v>
                </c:pt>
                <c:pt idx="5">
                  <c:v>489432</c:v>
                </c:pt>
                <c:pt idx="6">
                  <c:v>607243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9-4A50-9AE4-6F58CFA01D90}"/>
            </c:ext>
          </c:extLst>
        </c:ser>
        <c:ser>
          <c:idx val="1"/>
          <c:order val="1"/>
          <c:tx>
            <c:strRef>
              <c:f>'ROI Model'!$G$27</c:f>
              <c:strCache>
                <c:ptCount val="1"/>
                <c:pt idx="0">
                  <c:v>-20F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Model'!$G$28:$G$34</c:f>
              <c:numCache>
                <c:formatCode>_(* #,##0_);_(* \(#,##0\);_(* "-"??_);_(@_)</c:formatCode>
                <c:ptCount val="7"/>
                <c:pt idx="0">
                  <c:v>19532.743942910602</c:v>
                </c:pt>
                <c:pt idx="1">
                  <c:v>58466.327162130197</c:v>
                </c:pt>
                <c:pt idx="2">
                  <c:v>97221.418611253393</c:v>
                </c:pt>
                <c:pt idx="3">
                  <c:v>193309.98498447699</c:v>
                </c:pt>
                <c:pt idx="4">
                  <c:v>288227.00901467999</c:v>
                </c:pt>
                <c:pt idx="5">
                  <c:v>381941</c:v>
                </c:pt>
                <c:pt idx="6">
                  <c:v>474426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E9-4A50-9AE4-6F58CFA01D90}"/>
            </c:ext>
          </c:extLst>
        </c:ser>
        <c:ser>
          <c:idx val="2"/>
          <c:order val="2"/>
          <c:tx>
            <c:strRef>
              <c:f>'ROI Model'!$H$27</c:f>
              <c:strCache>
                <c:ptCount val="1"/>
                <c:pt idx="0">
                  <c:v>+0F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Model'!$H$28:$H$34</c:f>
              <c:numCache>
                <c:formatCode>_(* #,##0_);_(* \(#,##0\);_(* "-"??_);_(@_)</c:formatCode>
                <c:ptCount val="7"/>
                <c:pt idx="0">
                  <c:v>14665.6960015522</c:v>
                </c:pt>
                <c:pt idx="1">
                  <c:v>43911.868877465196</c:v>
                </c:pt>
                <c:pt idx="2">
                  <c:v>73042.724280157694</c:v>
                </c:pt>
                <c:pt idx="3">
                  <c:v>145353.55118739299</c:v>
                </c:pt>
                <c:pt idx="4">
                  <c:v>216907.48435832499</c:v>
                </c:pt>
                <c:pt idx="5">
                  <c:v>287684</c:v>
                </c:pt>
                <c:pt idx="6">
                  <c:v>357667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6E9-4A50-9AE4-6F58CFA01D90}"/>
            </c:ext>
          </c:extLst>
        </c:ser>
        <c:ser>
          <c:idx val="3"/>
          <c:order val="3"/>
          <c:tx>
            <c:strRef>
              <c:f>'ROI Model'!$I$27</c:f>
              <c:strCache>
                <c:ptCount val="1"/>
                <c:pt idx="0">
                  <c:v>+20F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Model'!$I$28:$I$34</c:f>
              <c:numCache>
                <c:formatCode>_(* #,##0_);_(* \(#,##0\);_(* "-"??_);_(@_)</c:formatCode>
                <c:ptCount val="7"/>
                <c:pt idx="0">
                  <c:v>10275.8031174641</c:v>
                </c:pt>
                <c:pt idx="1">
                  <c:v>30780.812100805699</c:v>
                </c:pt>
                <c:pt idx="2">
                  <c:v>51222.766257266703</c:v>
                </c:pt>
                <c:pt idx="3">
                  <c:v>102045.335902041</c:v>
                </c:pt>
                <c:pt idx="4">
                  <c:v>152454.041089184</c:v>
                </c:pt>
                <c:pt idx="5">
                  <c:v>202438</c:v>
                </c:pt>
                <c:pt idx="6">
                  <c:v>251987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E9-4A50-9AE4-6F58CFA01D90}"/>
            </c:ext>
          </c:extLst>
        </c:ser>
        <c:ser>
          <c:idx val="4"/>
          <c:order val="4"/>
          <c:tx>
            <c:strRef>
              <c:f>'ROI Model'!$J$27</c:f>
              <c:strCache>
                <c:ptCount val="1"/>
                <c:pt idx="0">
                  <c:v>+40F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Model'!$J$28:$J$34</c:f>
              <c:numCache>
                <c:formatCode>_(* #,##0_);_(* \(#,##0\);_(* "-"??_);_(@_)</c:formatCode>
                <c:ptCount val="7"/>
                <c:pt idx="0">
                  <c:v>6255.2763426254796</c:v>
                </c:pt>
                <c:pt idx="1">
                  <c:v>18747.518496280201</c:v>
                </c:pt>
                <c:pt idx="2">
                  <c:v>31214.983064120599</c:v>
                </c:pt>
                <c:pt idx="3">
                  <c:v>62272.7076533687</c:v>
                </c:pt>
                <c:pt idx="4">
                  <c:v>93167.802946467404</c:v>
                </c:pt>
                <c:pt idx="5">
                  <c:v>123896</c:v>
                </c:pt>
                <c:pt idx="6">
                  <c:v>154453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6E9-4A50-9AE4-6F58CFA0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073920"/>
        <c:axId val="1053055680"/>
      </c:scatterChart>
      <c:valAx>
        <c:axId val="1053073920"/>
        <c:scaling>
          <c:orientation val="minMax"/>
          <c:max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Valve Bleed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55680"/>
        <c:crosses val="autoZero"/>
        <c:crossBetween val="midCat"/>
      </c:valAx>
      <c:valAx>
        <c:axId val="10530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kWh/Year/Valve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7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76CFD5-7A0F-4E37-B494-6147F5FD1254}">
  <sheetPr/>
  <sheetViews>
    <sheetView zoomScale="9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0EF751-BBFA-486B-AF9F-B2FF093C3D59}">
  <sheetPr/>
  <sheetViews>
    <sheetView zoomScale="14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135595</xdr:colOff>
      <xdr:row>18</xdr:row>
      <xdr:rowOff>31119</xdr:rowOff>
    </xdr:from>
    <xdr:to>
      <xdr:col>12</xdr:col>
      <xdr:colOff>392595</xdr:colOff>
      <xdr:row>33</xdr:row>
      <xdr:rowOff>140804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A92BD-0CB3-7197-41F3-E2ABA04F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1833" y="3030079"/>
          <a:ext cx="2690118" cy="262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05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9F91A-D455-3A14-937B-2477EAD63D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0.11225</cdr:x>
      <cdr:y>0.06443</cdr:y>
    </cdr:from>
    <cdr:to>
      <cdr:x>0.11228</cdr:x>
      <cdr:y>0.89429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9C37974B-096D-6B12-99EF-5E5B15C30A73}"/>
            </a:ext>
          </a:extLst>
        </cdr:cNvPr>
        <cdr:cNvCxnSpPr/>
      </cdr:nvCxnSpPr>
      <cdr:spPr>
        <a:xfrm xmlns:a="http://schemas.openxmlformats.org/drawingml/2006/main">
          <a:off x="973787" y="405701"/>
          <a:ext cx="261" cy="52254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0.70639</cdr:x>
      <cdr:y>0.06405</cdr:y>
    </cdr:from>
    <cdr:to>
      <cdr:x>0.71821</cdr:x>
      <cdr:y>0.88621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DFE858D1-9F28-531B-E1D5-E2825415E35D}"/>
            </a:ext>
          </a:extLst>
        </cdr:cNvPr>
        <cdr:cNvCxnSpPr/>
      </cdr:nvCxnSpPr>
      <cdr:spPr>
        <a:xfrm xmlns:a="http://schemas.openxmlformats.org/drawingml/2006/main" rot="-60000" flipH="1">
          <a:off x="5074448" y="341891"/>
          <a:ext cx="84900" cy="438830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0.17752</cdr:x>
      <cdr:y>0.28216</cdr:y>
    </cdr:from>
    <cdr:to>
      <cdr:x>0.52124</cdr:x>
      <cdr:y>0.40706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46EC1247-17D4-15D5-58DD-14CFFEAAF7DD}"/>
            </a:ext>
          </a:extLst>
        </cdr:cNvPr>
        <cdr:cNvSpPr txBox="1"/>
      </cdr:nvSpPr>
      <cdr:spPr>
        <a:xfrm xmlns:a="http://schemas.openxmlformats.org/drawingml/2006/main">
          <a:off x="964734" y="1229684"/>
          <a:ext cx="1867889" cy="54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0.11465</cdr:x>
      <cdr:y>0.13723</cdr:y>
    </cdr:from>
    <cdr:to>
      <cdr:x>0.71626</cdr:x>
      <cdr:y>0.23941</cdr:y>
    </cdr:to>
    <cdr:sp macro="" textlink="">
      <cdr:nvSpPr>
        <cdr:cNvPr id="14" name="Callout: Left-Right Arrow 13">
          <a:extLst xmlns:a="http://schemas.openxmlformats.org/drawingml/2006/main">
            <a:ext uri="{FF2B5EF4-FFF2-40B4-BE49-F238E27FC236}">
              <a16:creationId xmlns:a16="http://schemas.microsoft.com/office/drawing/2014/main" id="{E1E46A6D-9699-BF3D-BA5E-585D859EB796}"/>
            </a:ext>
          </a:extLst>
        </cdr:cNvPr>
        <cdr:cNvSpPr/>
      </cdr:nvSpPr>
      <cdr:spPr>
        <a:xfrm xmlns:a="http://schemas.openxmlformats.org/drawingml/2006/main">
          <a:off x="886761" y="713289"/>
          <a:ext cx="4653136" cy="531097"/>
        </a:xfrm>
        <a:prstGeom xmlns:a="http://schemas.openxmlformats.org/drawingml/2006/main" prst="leftRightArrowCallou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000" b="1" baseline="0">
              <a:solidFill>
                <a:schemeClr val="tx1"/>
              </a:solidFill>
            </a:rPr>
            <a:t>Desired ROI - 3 years or less</a:t>
          </a:r>
          <a:endParaRPr lang="en-US" sz="10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0.95737</cdr:x>
      <cdr:y>0.28409</cdr:y>
    </cdr:from>
    <cdr:to>
      <cdr:x>0.99577</cdr:x>
      <cdr:y>0.73471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1AF923D-1B7E-59D6-78E7-830A1E018FB5}"/>
            </a:ext>
          </a:extLst>
        </cdr:cNvPr>
        <cdr:cNvSpPr txBox="1"/>
      </cdr:nvSpPr>
      <cdr:spPr>
        <a:xfrm xmlns:a="http://schemas.openxmlformats.org/drawingml/2006/main" rot="16200000">
          <a:off x="7039799" y="3036061"/>
          <a:ext cx="2832823" cy="332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lang="en-US" sz="10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  Incident Rate - Leaking Valves (%)</a:t>
          </a:r>
        </a:p>
      </cdr:txBody>
    </cdr:sp>
  </cdr:relSizeAnchor>
  <cdr:relSizeAnchor xmlns:cdr="http://schemas.openxmlformats.org/drawingml/2006/chartDrawing">
    <cdr:from>
      <cdr:x>0.10675</cdr:x>
      <cdr:y>0.67179</cdr:y>
    </cdr:from>
    <cdr:to>
      <cdr:x>0.30848</cdr:x>
      <cdr:y>0.70855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0E9A9059-F7A8-72BE-EE75-72740FD0B7F5}"/>
            </a:ext>
          </a:extLst>
        </cdr:cNvPr>
        <cdr:cNvSpPr txBox="1"/>
      </cdr:nvSpPr>
      <cdr:spPr>
        <a:xfrm xmlns:a="http://schemas.openxmlformats.org/drawingml/2006/main">
          <a:off x="925561" y="4229333"/>
          <a:ext cx="1749072" cy="231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Plant Infrastructure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0.11123</cdr:x>
      <cdr:y>0.7057</cdr:y>
    </cdr:from>
    <cdr:to>
      <cdr:x>0.90971</cdr:x>
      <cdr:y>0.88808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ECE73CAC-89CF-6324-5D75-DAE69E02180A}"/>
            </a:ext>
          </a:extLst>
        </cdr:cNvPr>
        <cdr:cNvSpPr/>
      </cdr:nvSpPr>
      <cdr:spPr>
        <a:xfrm xmlns:a="http://schemas.openxmlformats.org/drawingml/2006/main">
          <a:off x="964383" y="4442825"/>
          <a:ext cx="6923100" cy="1148220"/>
        </a:xfrm>
        <a:prstGeom xmlns:a="http://schemas.openxmlformats.org/drawingml/2006/main" prst="rect">
          <a:avLst/>
        </a:prstGeom>
        <a:solidFill xmlns:a="http://schemas.openxmlformats.org/drawingml/2006/main">
          <a:srgbClr val="92C089">
            <a:alpha val="24706"/>
          </a:srgbClr>
        </a:solidFill>
        <a:ln xmlns:a="http://schemas.openxmlformats.org/drawingml/2006/main">
          <a:noFill/>
          <a:prstDash val="sysDot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0.10604</cdr:x>
      <cdr:y>0.48004</cdr:y>
    </cdr:from>
    <cdr:to>
      <cdr:x>0.44017</cdr:x>
      <cdr:y>0.52352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0C807BEB-D785-6A96-F223-A0904BEABA81}"/>
            </a:ext>
          </a:extLst>
        </cdr:cNvPr>
        <cdr:cNvSpPr txBox="1"/>
      </cdr:nvSpPr>
      <cdr:spPr>
        <a:xfrm xmlns:a="http://schemas.openxmlformats.org/drawingml/2006/main">
          <a:off x="919407" y="3022161"/>
          <a:ext cx="2897027" cy="273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Total Investment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(</a:t>
          </a:r>
          <a:r>
            <a:rPr lang="en-US" sz="1100">
              <a:effectLst/>
              <a:latin typeface="+mn-lt"/>
              <a:ea typeface="+mn-ea"/>
              <a:cs typeface="+mn-cs"/>
            </a:rPr>
            <a:t>Incl. 2x Sentinel per Evap)</a:t>
          </a:r>
          <a:endParaRPr lang="en-US"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360" cy="6295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BDAC9-440A-F119-6AA5-2B217C1DB3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0.39326</cdr:x>
      <cdr:y>0.04641</cdr:y>
    </cdr:from>
    <cdr:to>
      <cdr:x>0.62513</cdr:x>
      <cdr:y>0.08439</cdr:y>
    </cdr:to>
    <cdr:sp macro="" textlink="'ROI Model'!$C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C2635A-71AE-CF04-B02E-9780492F2958}"/>
            </a:ext>
          </a:extLst>
        </cdr:cNvPr>
        <cdr:cNvSpPr txBox="1"/>
      </cdr:nvSpPr>
      <cdr:spPr>
        <a:xfrm xmlns:a="http://schemas.openxmlformats.org/drawingml/2006/main">
          <a:off x="5093229" y="436563"/>
          <a:ext cx="3003021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8FFAF0E-6637-4398-9F63-5B66D1574252}" type="TxLink">
            <a:rPr lang="en-US" sz="1400" b="0" i="0" u="none" strike="noStrike" kern="1200">
              <a:solidFill>
                <a:srgbClr val="595959"/>
              </a:solidFill>
              <a:latin typeface="Aptos Narrow"/>
            </a:rPr>
            <a:pPr algn="ctr"/>
            <a:t> </a:t>
          </a:fld>
          <a:endParaRPr lang="en-US" sz="1200" kern="1200">
            <a:solidFill>
              <a:srgbClr val="595959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t\Downloads\Test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ation"/>
      <sheetName val="Sample Calcs"/>
      <sheetName val="Water saturation table"/>
      <sheetName val="Property Calculator"/>
      <sheetName val="Lists"/>
    </sheetNames>
    <sheetDataSet>
      <sheetData sheetId="0"/>
      <sheetData sheetId="1"/>
      <sheetData sheetId="2"/>
      <sheetData sheetId="3"/>
      <sheetData sheetId="4">
        <row r="6">
          <cell r="H6" t="str">
            <v>A</v>
          </cell>
          <cell r="J6" t="str">
            <v>PureFluids</v>
          </cell>
        </row>
        <row r="7">
          <cell r="H7" t="str">
            <v>ACENTRIC</v>
          </cell>
          <cell r="J7" t="str">
            <v>PredefinedMixtures</v>
          </cell>
        </row>
        <row r="8">
          <cell r="H8" t="str">
            <v>ALPHA0</v>
          </cell>
        </row>
        <row r="9">
          <cell r="H9" t="str">
            <v>ALPHAR</v>
          </cell>
        </row>
        <row r="10">
          <cell r="H10" t="str">
            <v>BVIRIAL</v>
          </cell>
        </row>
        <row r="11">
          <cell r="H11" t="str">
            <v>Bvirial</v>
          </cell>
        </row>
        <row r="12">
          <cell r="H12" t="str">
            <v>C</v>
          </cell>
        </row>
        <row r="13">
          <cell r="H13" t="str">
            <v>CONDUCTIVITY</v>
          </cell>
        </row>
        <row r="14">
          <cell r="H14" t="str">
            <v>CP0MASS</v>
          </cell>
        </row>
        <row r="15">
          <cell r="H15" t="str">
            <v>CP0MOLAR</v>
          </cell>
        </row>
        <row r="16">
          <cell r="H16" t="str">
            <v>CPMASS</v>
          </cell>
        </row>
        <row r="17">
          <cell r="H17" t="str">
            <v>CPMOLAR</v>
          </cell>
        </row>
        <row r="18">
          <cell r="H18" t="str">
            <v>CVIRIAL</v>
          </cell>
        </row>
        <row r="19">
          <cell r="H19" t="str">
            <v>CVMASS</v>
          </cell>
        </row>
        <row r="20">
          <cell r="H20" t="str">
            <v>CVMOLAR</v>
          </cell>
        </row>
        <row r="21">
          <cell r="H21" t="str">
            <v>Cp0mass</v>
          </cell>
        </row>
        <row r="22">
          <cell r="H22" t="str">
            <v>Cp0molar</v>
          </cell>
        </row>
        <row r="23">
          <cell r="H23" t="str">
            <v>Cpmass</v>
          </cell>
        </row>
        <row r="24">
          <cell r="H24" t="str">
            <v>Cpmolar</v>
          </cell>
        </row>
        <row r="25">
          <cell r="H25" t="str">
            <v>Cvirial</v>
          </cell>
        </row>
        <row r="26">
          <cell r="H26" t="str">
            <v>Cvmass</v>
          </cell>
        </row>
        <row r="27">
          <cell r="H27" t="str">
            <v>Cvmolar</v>
          </cell>
        </row>
        <row r="28">
          <cell r="H28" t="str">
            <v>D</v>
          </cell>
        </row>
        <row r="29">
          <cell r="H29" t="str">
            <v>DALPHA0_DDELTA_CONSTTAU</v>
          </cell>
        </row>
        <row r="30">
          <cell r="H30" t="str">
            <v>DALPHA0_DTAU_CONSTDELTA</v>
          </cell>
        </row>
        <row r="31">
          <cell r="H31" t="str">
            <v>DALPHAR_DDELTA_CONSTTAU</v>
          </cell>
        </row>
        <row r="32">
          <cell r="H32" t="str">
            <v>DALPHAR_DTAU_CONSTDELTA</v>
          </cell>
        </row>
        <row r="33">
          <cell r="H33" t="str">
            <v>DBVIRIAL_DT</v>
          </cell>
        </row>
        <row r="34">
          <cell r="H34" t="str">
            <v>DCVIRIAL_DT</v>
          </cell>
        </row>
        <row r="35">
          <cell r="H35" t="str">
            <v>DELTA</v>
          </cell>
        </row>
        <row r="36">
          <cell r="H36" t="str">
            <v>DIPOLE_MOMENT</v>
          </cell>
        </row>
        <row r="37">
          <cell r="H37" t="str">
            <v>DMASS</v>
          </cell>
        </row>
        <row r="38">
          <cell r="H38" t="str">
            <v>DMOLAR</v>
          </cell>
        </row>
        <row r="39">
          <cell r="H39" t="str">
            <v>Delta</v>
          </cell>
        </row>
        <row r="40">
          <cell r="H40" t="str">
            <v>Dmass</v>
          </cell>
        </row>
        <row r="41">
          <cell r="H41" t="str">
            <v>Dmolar</v>
          </cell>
        </row>
        <row r="42">
          <cell r="H42" t="str">
            <v>FH</v>
          </cell>
        </row>
        <row r="43">
          <cell r="H43" t="str">
            <v>FRACTION_MAX</v>
          </cell>
        </row>
        <row r="44">
          <cell r="H44" t="str">
            <v>FRACTION_MIN</v>
          </cell>
        </row>
        <row r="45">
          <cell r="H45" t="str">
            <v>FUNDAMENTAL_DERIVATIVE_OF_GAS_DYNAMICS</v>
          </cell>
        </row>
        <row r="46">
          <cell r="H46" t="str">
            <v>G</v>
          </cell>
        </row>
        <row r="47">
          <cell r="H47" t="str">
            <v>GAS_CONSTANT</v>
          </cell>
        </row>
        <row r="48">
          <cell r="H48" t="str">
            <v>GMASS</v>
          </cell>
        </row>
        <row r="49">
          <cell r="H49" t="str">
            <v>GMOLAR</v>
          </cell>
        </row>
        <row r="50">
          <cell r="H50" t="str">
            <v>GWP100</v>
          </cell>
        </row>
        <row r="51">
          <cell r="H51" t="str">
            <v>GWP20</v>
          </cell>
        </row>
        <row r="52">
          <cell r="H52" t="str">
            <v>GWP500</v>
          </cell>
        </row>
        <row r="53">
          <cell r="H53" t="str">
            <v>Gmass</v>
          </cell>
        </row>
        <row r="54">
          <cell r="H54" t="str">
            <v>Gmolar</v>
          </cell>
        </row>
        <row r="55">
          <cell r="H55" t="str">
            <v>H</v>
          </cell>
        </row>
        <row r="56">
          <cell r="H56" t="str">
            <v>HH</v>
          </cell>
        </row>
        <row r="57">
          <cell r="H57" t="str">
            <v>HMASS</v>
          </cell>
        </row>
        <row r="58">
          <cell r="H58" t="str">
            <v>HMOLAR</v>
          </cell>
        </row>
        <row r="59">
          <cell r="H59" t="str">
            <v>Hmass</v>
          </cell>
        </row>
        <row r="60">
          <cell r="H60" t="str">
            <v>Hmolar</v>
          </cell>
        </row>
        <row r="61">
          <cell r="H61" t="str">
            <v>I</v>
          </cell>
        </row>
        <row r="62">
          <cell r="H62" t="str">
            <v>ISOBARIC_EXPANSION_COEFFICIENT</v>
          </cell>
        </row>
        <row r="63">
          <cell r="H63" t="str">
            <v>ISOTHERMAL_COMPRESSIBILITY</v>
          </cell>
        </row>
        <row r="64">
          <cell r="H64" t="str">
            <v>L</v>
          </cell>
        </row>
        <row r="65">
          <cell r="H65" t="str">
            <v>M</v>
          </cell>
        </row>
        <row r="66">
          <cell r="H66" t="str">
            <v>MOLARMASS</v>
          </cell>
        </row>
        <row r="67">
          <cell r="H67" t="str">
            <v>MOLAR_MASS</v>
          </cell>
        </row>
        <row r="68">
          <cell r="H68" t="str">
            <v>MOLEMASS</v>
          </cell>
        </row>
        <row r="69">
          <cell r="H69" t="str">
            <v>O</v>
          </cell>
        </row>
        <row r="70">
          <cell r="H70" t="str">
            <v>ODP</v>
          </cell>
        </row>
        <row r="71">
          <cell r="H71" t="str">
            <v>P</v>
          </cell>
        </row>
        <row r="72">
          <cell r="H72" t="str">
            <v>PCRIT</v>
          </cell>
        </row>
        <row r="73">
          <cell r="H73" t="str">
            <v>PH</v>
          </cell>
        </row>
        <row r="74">
          <cell r="H74" t="str">
            <v>PHASE</v>
          </cell>
        </row>
        <row r="75">
          <cell r="H75" t="str">
            <v>PIP</v>
          </cell>
        </row>
        <row r="76">
          <cell r="H76" t="str">
            <v>PMAX</v>
          </cell>
        </row>
        <row r="77">
          <cell r="H77" t="str">
            <v>PMIN</v>
          </cell>
        </row>
        <row r="78">
          <cell r="H78" t="str">
            <v>PRANDTL</v>
          </cell>
        </row>
        <row r="79">
          <cell r="H79" t="str">
            <v>PTRIPLE</v>
          </cell>
        </row>
        <row r="80">
          <cell r="H80" t="str">
            <v>P_CRITICAL</v>
          </cell>
        </row>
        <row r="81">
          <cell r="H81" t="str">
            <v>P_MAX</v>
          </cell>
        </row>
        <row r="82">
          <cell r="H82" t="str">
            <v>P_MIN</v>
          </cell>
        </row>
        <row r="83">
          <cell r="H83" t="str">
            <v>P_REDUCING</v>
          </cell>
        </row>
        <row r="84">
          <cell r="H84" t="str">
            <v>P_TRIPLE</v>
          </cell>
        </row>
        <row r="85">
          <cell r="H85" t="str">
            <v>P_max</v>
          </cell>
        </row>
        <row r="86">
          <cell r="H86" t="str">
            <v>P_min</v>
          </cell>
        </row>
        <row r="87">
          <cell r="H87" t="str">
            <v>Pcrit</v>
          </cell>
        </row>
        <row r="88">
          <cell r="H88" t="str">
            <v>Phase</v>
          </cell>
        </row>
        <row r="89">
          <cell r="H89" t="str">
            <v>Prandtl</v>
          </cell>
        </row>
        <row r="90">
          <cell r="H90" t="str">
            <v>Q</v>
          </cell>
        </row>
        <row r="91">
          <cell r="H91" t="str">
            <v>RHOCRIT</v>
          </cell>
        </row>
        <row r="92">
          <cell r="H92" t="str">
            <v>RHOMASS_CRITICAL</v>
          </cell>
        </row>
        <row r="93">
          <cell r="H93" t="str">
            <v>RHOMASS_REDUCING</v>
          </cell>
        </row>
        <row r="94">
          <cell r="H94" t="str">
            <v>RHOMOLAR_CRITICAL</v>
          </cell>
        </row>
        <row r="95">
          <cell r="H95" t="str">
            <v>RHOMOLAR_REDUCING</v>
          </cell>
        </row>
        <row r="96">
          <cell r="H96" t="str">
            <v>S</v>
          </cell>
        </row>
        <row r="97">
          <cell r="H97" t="str">
            <v>SMASS</v>
          </cell>
        </row>
        <row r="98">
          <cell r="H98" t="str">
            <v>SMOLAR</v>
          </cell>
        </row>
        <row r="99">
          <cell r="H99" t="str">
            <v>SMOLAR_RESIDUAL</v>
          </cell>
        </row>
        <row r="100">
          <cell r="H100" t="str">
            <v>SPEED_OF_SOUND</v>
          </cell>
        </row>
        <row r="101">
          <cell r="H101" t="str">
            <v>SURFACE_TENSION</v>
          </cell>
        </row>
        <row r="102">
          <cell r="H102" t="str">
            <v>Smass</v>
          </cell>
        </row>
        <row r="103">
          <cell r="H103" t="str">
            <v>Smolar</v>
          </cell>
        </row>
        <row r="104">
          <cell r="H104" t="str">
            <v>Smolar_residual</v>
          </cell>
        </row>
        <row r="105">
          <cell r="H105" t="str">
            <v>T</v>
          </cell>
        </row>
        <row r="106">
          <cell r="H106" t="str">
            <v>TAU</v>
          </cell>
        </row>
        <row r="107">
          <cell r="H107" t="str">
            <v>TCRIT</v>
          </cell>
        </row>
        <row r="108">
          <cell r="H108" t="str">
            <v>TMAX</v>
          </cell>
        </row>
        <row r="109">
          <cell r="H109" t="str">
            <v>TMIN</v>
          </cell>
        </row>
        <row r="110">
          <cell r="H110" t="str">
            <v>TTRIPLE</v>
          </cell>
        </row>
        <row r="111">
          <cell r="H111" t="str">
            <v>T_CRITICAL</v>
          </cell>
        </row>
        <row r="112">
          <cell r="H112" t="str">
            <v>T_FREEZE</v>
          </cell>
        </row>
        <row r="113">
          <cell r="H113" t="str">
            <v>T_MAX</v>
          </cell>
        </row>
        <row r="114">
          <cell r="H114" t="str">
            <v>T_MIN</v>
          </cell>
        </row>
        <row r="115">
          <cell r="H115" t="str">
            <v>T_REDUCING</v>
          </cell>
        </row>
        <row r="116">
          <cell r="H116" t="str">
            <v>T_TRIPLE</v>
          </cell>
        </row>
        <row r="117">
          <cell r="H117" t="str">
            <v>T_critical</v>
          </cell>
        </row>
        <row r="118">
          <cell r="H118" t="str">
            <v>T_freeze</v>
          </cell>
        </row>
        <row r="119">
          <cell r="H119" t="str">
            <v>T_max</v>
          </cell>
        </row>
        <row r="120">
          <cell r="H120" t="str">
            <v>T_min</v>
          </cell>
        </row>
        <row r="121">
          <cell r="H121" t="str">
            <v>T_reducing</v>
          </cell>
        </row>
        <row r="122">
          <cell r="H122" t="str">
            <v>T_triple</v>
          </cell>
        </row>
        <row r="123">
          <cell r="H123" t="str">
            <v>Tau</v>
          </cell>
        </row>
        <row r="124">
          <cell r="H124" t="str">
            <v>Tcrit</v>
          </cell>
        </row>
        <row r="125">
          <cell r="H125" t="str">
            <v>Tmax</v>
          </cell>
        </row>
        <row r="126">
          <cell r="H126" t="str">
            <v>Tmin</v>
          </cell>
        </row>
        <row r="127">
          <cell r="H127" t="str">
            <v>Ttriple</v>
          </cell>
        </row>
        <row r="128">
          <cell r="H128" t="str">
            <v>U</v>
          </cell>
        </row>
        <row r="129">
          <cell r="H129" t="str">
            <v>UMASS</v>
          </cell>
        </row>
        <row r="130">
          <cell r="H130" t="str">
            <v>UMOLAR</v>
          </cell>
        </row>
        <row r="131">
          <cell r="H131" t="str">
            <v>Umass</v>
          </cell>
        </row>
        <row r="132">
          <cell r="H132" t="str">
            <v>Umolar</v>
          </cell>
        </row>
        <row r="133">
          <cell r="H133" t="str">
            <v>V</v>
          </cell>
        </row>
        <row r="134">
          <cell r="H134" t="str">
            <v>VISCOSITY</v>
          </cell>
        </row>
        <row r="135">
          <cell r="H135" t="str">
            <v>Z</v>
          </cell>
        </row>
        <row r="136">
          <cell r="H136" t="str">
            <v>acentric</v>
          </cell>
        </row>
        <row r="137">
          <cell r="H137" t="str">
            <v>alpha0</v>
          </cell>
        </row>
        <row r="138">
          <cell r="H138" t="str">
            <v>alphar</v>
          </cell>
        </row>
        <row r="139">
          <cell r="H139" t="str">
            <v>conductivity</v>
          </cell>
        </row>
        <row r="140">
          <cell r="H140" t="str">
            <v>dBvirial_dT</v>
          </cell>
        </row>
        <row r="141">
          <cell r="H141" t="str">
            <v>dCvirial_dT</v>
          </cell>
        </row>
        <row r="142">
          <cell r="H142" t="str">
            <v>dalpha0_ddelta_consttau</v>
          </cell>
        </row>
        <row r="143">
          <cell r="H143" t="str">
            <v>dalpha0_dtau_constdelta</v>
          </cell>
        </row>
        <row r="144">
          <cell r="H144" t="str">
            <v>dalphar_ddelta_consttau</v>
          </cell>
        </row>
        <row r="145">
          <cell r="H145" t="str">
            <v>dalphar_dtau_constdelta</v>
          </cell>
        </row>
        <row r="146">
          <cell r="H146" t="str">
            <v>dipole_moment</v>
          </cell>
        </row>
        <row r="147">
          <cell r="H147" t="str">
            <v>fraction_max</v>
          </cell>
        </row>
        <row r="148">
          <cell r="H148" t="str">
            <v>fraction_min</v>
          </cell>
        </row>
        <row r="149">
          <cell r="H149" t="str">
            <v>fundamental_derivative_of_gas_dynamics</v>
          </cell>
        </row>
        <row r="150">
          <cell r="H150" t="str">
            <v>gas_constant</v>
          </cell>
        </row>
        <row r="151">
          <cell r="H151" t="str">
            <v>isobaric_expansion_coefficient</v>
          </cell>
        </row>
        <row r="152">
          <cell r="H152" t="str">
            <v>isothermal_compressibility</v>
          </cell>
        </row>
        <row r="153">
          <cell r="H153" t="str">
            <v>molar_mass</v>
          </cell>
        </row>
        <row r="154">
          <cell r="H154" t="str">
            <v>molarmass</v>
          </cell>
        </row>
        <row r="155">
          <cell r="H155" t="str">
            <v>molemass</v>
          </cell>
        </row>
        <row r="156">
          <cell r="H156" t="str">
            <v>p_critical</v>
          </cell>
        </row>
        <row r="157">
          <cell r="H157" t="str">
            <v>p_reducing</v>
          </cell>
        </row>
        <row r="158">
          <cell r="H158" t="str">
            <v>p_triple</v>
          </cell>
        </row>
        <row r="159">
          <cell r="H159" t="str">
            <v>pcrit</v>
          </cell>
        </row>
        <row r="160">
          <cell r="H160" t="str">
            <v>pmax</v>
          </cell>
        </row>
        <row r="161">
          <cell r="H161" t="str">
            <v>pmin</v>
          </cell>
        </row>
        <row r="162">
          <cell r="H162" t="str">
            <v>ptriple</v>
          </cell>
        </row>
        <row r="163">
          <cell r="H163" t="str">
            <v>rhocrit</v>
          </cell>
        </row>
        <row r="164">
          <cell r="H164" t="str">
            <v>rhomass_critical</v>
          </cell>
        </row>
        <row r="165">
          <cell r="H165" t="str">
            <v>rhomass_reducing</v>
          </cell>
        </row>
        <row r="166">
          <cell r="H166" t="str">
            <v>rhomolar_critical</v>
          </cell>
        </row>
        <row r="167">
          <cell r="H167" t="str">
            <v>rhomolar_reducing</v>
          </cell>
        </row>
        <row r="168">
          <cell r="H168" t="str">
            <v>speed_of_sound</v>
          </cell>
        </row>
        <row r="169">
          <cell r="H169" t="str">
            <v>surface_tension</v>
          </cell>
        </row>
        <row r="170">
          <cell r="H170" t="str">
            <v>viscosity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tinel@$900/Uni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6E4D8-5F66-4DC5-8373-484110C111DA}">
  <dimension ref="A1:O48"/>
  <sheetViews>
    <sheetView tabSelected="1" topLeftCell="A7" zoomScale="202" zoomScaleNormal="202" zoomScaleSheetLayoutView="115" workbookViewId="0">
      <selection activeCell="O21" sqref="O21"/>
    </sheetView>
  </sheetViews>
  <sheetFormatPr defaultColWidth="8.73046875" defaultRowHeight="14.25"/>
  <cols>
    <col min="1" max="13" width="9.1328125" customWidth="1"/>
    <col min="14" max="14" width="8.73046875" style="5"/>
    <col min="15" max="16384" width="8.73046875" style="6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</row>
    <row r="3" spans="1:15" ht="6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5"/>
    </row>
    <row r="4" spans="1:15" s="9" customFormat="1">
      <c r="A4" s="3"/>
      <c r="B4" s="66" t="e" vm="1">
        <v>#VALUE!</v>
      </c>
      <c r="C4" s="66"/>
      <c r="D4" s="66"/>
      <c r="E4" s="66"/>
      <c r="F4" s="66"/>
      <c r="G4" s="66"/>
      <c r="H4" s="66"/>
      <c r="I4" s="67" t="s">
        <v>57</v>
      </c>
      <c r="J4" s="67"/>
      <c r="K4" s="67"/>
      <c r="L4" s="67"/>
      <c r="M4" s="3"/>
      <c r="N4" s="8"/>
      <c r="O4" s="8"/>
    </row>
    <row r="5" spans="1:15" s="9" customFormat="1">
      <c r="A5" s="3"/>
      <c r="B5" s="66"/>
      <c r="C5" s="66"/>
      <c r="D5" s="66"/>
      <c r="E5" s="66"/>
      <c r="F5" s="66"/>
      <c r="G5" s="66"/>
      <c r="H5" s="66"/>
      <c r="I5" s="67"/>
      <c r="J5" s="67"/>
      <c r="K5" s="67"/>
      <c r="L5" s="67"/>
      <c r="M5" s="3"/>
      <c r="N5" s="8"/>
      <c r="O5" s="8"/>
    </row>
    <row r="6" spans="1:15" s="9" customFormat="1">
      <c r="A6" s="3"/>
      <c r="B6" s="66"/>
      <c r="C6" s="66"/>
      <c r="D6" s="66"/>
      <c r="E6" s="66"/>
      <c r="F6" s="66"/>
      <c r="G6" s="66"/>
      <c r="H6" s="66"/>
      <c r="I6" s="67"/>
      <c r="J6" s="67"/>
      <c r="K6" s="67"/>
      <c r="L6" s="67"/>
      <c r="M6" s="3"/>
      <c r="N6" s="8"/>
      <c r="O6" s="8"/>
    </row>
    <row r="7" spans="1:15" s="9" customFormat="1">
      <c r="A7" s="3"/>
      <c r="B7" s="66"/>
      <c r="C7" s="66"/>
      <c r="D7" s="66"/>
      <c r="E7" s="66"/>
      <c r="F7" s="66"/>
      <c r="G7" s="66"/>
      <c r="H7" s="66"/>
      <c r="I7" s="67"/>
      <c r="J7" s="67"/>
      <c r="K7" s="67"/>
      <c r="L7" s="67"/>
      <c r="M7" s="3"/>
      <c r="N7" s="8"/>
      <c r="O7" s="8"/>
    </row>
    <row r="8" spans="1:15" ht="6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5"/>
    </row>
    <row r="9" spans="1:15" ht="3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5">
      <c r="A11" s="7"/>
      <c r="B11" s="64" t="s">
        <v>60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</row>
    <row r="12" spans="1:15" ht="14.45" customHeight="1">
      <c r="A12" s="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"/>
    </row>
    <row r="13" spans="1:15" ht="14.1" customHeight="1">
      <c r="A13" s="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"/>
    </row>
    <row r="14" spans="1:15">
      <c r="A14" s="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4"/>
    </row>
    <row r="15" spans="1:15" ht="14.4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5">
      <c r="A16" s="4"/>
      <c r="B16" s="68" t="s">
        <v>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4"/>
    </row>
    <row r="17" spans="1:13">
      <c r="A17" s="4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4"/>
    </row>
    <row r="18" spans="1:13">
      <c r="A18" s="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4"/>
    </row>
    <row r="19" spans="1:13" ht="14.45" customHeight="1">
      <c r="A19" s="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4"/>
      <c r="M19" s="4"/>
    </row>
    <row r="20" spans="1:13">
      <c r="A20" s="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4"/>
      <c r="M20" s="4"/>
    </row>
    <row r="21" spans="1:13">
      <c r="A21" s="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4"/>
      <c r="M21" s="4"/>
    </row>
    <row r="22" spans="1:13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 customHeight="1">
      <c r="A24" s="4"/>
      <c r="B24" s="64" t="s">
        <v>61</v>
      </c>
      <c r="C24" s="64"/>
      <c r="D24" s="64"/>
      <c r="E24" s="64"/>
      <c r="F24" s="64"/>
      <c r="G24" s="64"/>
      <c r="H24" s="64"/>
      <c r="I24" s="4"/>
      <c r="J24" s="4"/>
      <c r="K24" s="4"/>
      <c r="L24" s="4"/>
      <c r="M24" s="4"/>
    </row>
    <row r="25" spans="1:13">
      <c r="A25" s="4"/>
      <c r="B25" s="64"/>
      <c r="C25" s="64"/>
      <c r="D25" s="64"/>
      <c r="E25" s="64"/>
      <c r="F25" s="64"/>
      <c r="G25" s="64"/>
      <c r="H25" s="64"/>
      <c r="I25" s="4"/>
      <c r="J25" s="4"/>
      <c r="K25" s="4"/>
      <c r="L25" s="4"/>
      <c r="M25" s="4"/>
    </row>
    <row r="26" spans="1:13">
      <c r="A26" s="4"/>
      <c r="B26" s="64"/>
      <c r="C26" s="64"/>
      <c r="D26" s="64"/>
      <c r="E26" s="64"/>
      <c r="F26" s="64"/>
      <c r="G26" s="64"/>
      <c r="H26" s="64"/>
      <c r="I26" s="4"/>
      <c r="J26" s="4"/>
      <c r="K26" s="4"/>
      <c r="L26" s="4"/>
      <c r="M26" s="4"/>
    </row>
    <row r="27" spans="1:13">
      <c r="A27" s="4"/>
      <c r="B27" s="64"/>
      <c r="C27" s="64"/>
      <c r="D27" s="64"/>
      <c r="E27" s="64"/>
      <c r="F27" s="64"/>
      <c r="G27" s="64"/>
      <c r="H27" s="64"/>
      <c r="I27" s="4"/>
      <c r="J27" s="4"/>
      <c r="K27" s="4"/>
      <c r="L27" s="4"/>
      <c r="M27" s="4"/>
    </row>
    <row r="28" spans="1:13" ht="3" customHeight="1">
      <c r="A28" s="4"/>
      <c r="B28" s="64"/>
      <c r="C28" s="64"/>
      <c r="D28" s="64"/>
      <c r="E28" s="64"/>
      <c r="F28" s="64"/>
      <c r="G28" s="64"/>
      <c r="H28" s="6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65"/>
      <c r="J29" s="65"/>
      <c r="K29" s="65"/>
      <c r="L29" s="65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65"/>
      <c r="J30" s="65"/>
      <c r="K30" s="65"/>
      <c r="L30" s="65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65"/>
      <c r="J31" s="65"/>
      <c r="K31" s="65"/>
      <c r="L31" s="65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65"/>
      <c r="J32" s="65"/>
      <c r="K32" s="65"/>
      <c r="L32" s="65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65"/>
      <c r="J33" s="65"/>
      <c r="K33" s="65"/>
      <c r="L33" s="65"/>
      <c r="M33" s="4"/>
    </row>
    <row r="34" spans="1:13">
      <c r="A34" s="4"/>
      <c r="B34" s="68" t="s">
        <v>62</v>
      </c>
      <c r="C34" s="68"/>
      <c r="D34" s="68"/>
      <c r="E34" s="68"/>
      <c r="F34" s="68"/>
      <c r="G34" s="68"/>
      <c r="H34" s="68"/>
      <c r="I34" s="65"/>
      <c r="J34" s="65"/>
      <c r="K34" s="65"/>
      <c r="L34" s="65"/>
      <c r="M34" s="4"/>
    </row>
    <row r="35" spans="1:13">
      <c r="A35" s="4"/>
      <c r="B35" s="68"/>
      <c r="C35" s="68"/>
      <c r="D35" s="68"/>
      <c r="E35" s="68"/>
      <c r="F35" s="68"/>
      <c r="G35" s="68"/>
      <c r="H35" s="68"/>
      <c r="I35" s="65"/>
      <c r="J35" s="65"/>
      <c r="K35" s="65"/>
      <c r="L35" s="65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65"/>
      <c r="J36" s="65"/>
      <c r="K36" s="65"/>
      <c r="L36" s="65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65"/>
      <c r="J37" s="65"/>
      <c r="K37" s="65"/>
      <c r="L37" s="65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65"/>
      <c r="J38" s="65"/>
      <c r="K38" s="65"/>
      <c r="L38" s="65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65"/>
      <c r="J39" s="65"/>
      <c r="K39" s="65"/>
      <c r="L39" s="65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65"/>
      <c r="J40" s="65"/>
      <c r="K40" s="65"/>
      <c r="L40" s="65"/>
      <c r="M40" s="4"/>
    </row>
    <row r="41" spans="1:13" ht="3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63" t="e" vm="2">
        <v>#VALUE!</v>
      </c>
      <c r="C45" s="63"/>
      <c r="D45" s="63"/>
      <c r="E45" s="63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63"/>
      <c r="C46" s="63"/>
      <c r="D46" s="63"/>
      <c r="E46" s="63"/>
      <c r="F46" s="2"/>
      <c r="G46" s="2"/>
      <c r="H46" s="2"/>
      <c r="I46" s="2"/>
      <c r="J46" s="2"/>
      <c r="K46" s="2"/>
      <c r="L46" s="2"/>
      <c r="M46" s="2"/>
    </row>
    <row r="47" spans="1:13" ht="6.95" customHeight="1">
      <c r="A47" s="2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mergeCells count="9">
    <mergeCell ref="B45:E46"/>
    <mergeCell ref="B11:L14"/>
    <mergeCell ref="B19:K21"/>
    <mergeCell ref="I29:L40"/>
    <mergeCell ref="B4:H7"/>
    <mergeCell ref="I4:L7"/>
    <mergeCell ref="B34:H35"/>
    <mergeCell ref="B24:H28"/>
    <mergeCell ref="B16:L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81F6-E5A7-46BF-A9F0-401E1DACD7C6}">
  <sheetPr>
    <tabColor theme="9" tint="0.79998168889431442"/>
    <pageSetUpPr fitToPage="1"/>
  </sheetPr>
  <dimension ref="A1:L50"/>
  <sheetViews>
    <sheetView topLeftCell="A2" zoomScale="120" zoomScaleNormal="120" zoomScaleSheetLayoutView="85" workbookViewId="0">
      <selection activeCell="A21" sqref="A21"/>
    </sheetView>
  </sheetViews>
  <sheetFormatPr defaultColWidth="8.73046875" defaultRowHeight="14.25"/>
  <cols>
    <col min="1" max="1" width="8.73046875" style="12"/>
    <col min="2" max="2" width="35.86328125" style="12" bestFit="1" customWidth="1"/>
    <col min="3" max="3" width="16.59765625" style="12" bestFit="1" customWidth="1"/>
    <col min="4" max="4" width="10" style="12" customWidth="1"/>
    <col min="5" max="5" width="50.73046875" style="12" bestFit="1" customWidth="1"/>
    <col min="6" max="10" width="12.73046875" style="12" customWidth="1"/>
    <col min="11" max="11" width="19.73046875" style="12" customWidth="1"/>
    <col min="12" max="13" width="9.3984375" style="12" bestFit="1" customWidth="1"/>
    <col min="14" max="23" width="8.73046875" style="12"/>
    <col min="24" max="24" width="17.265625" style="12" bestFit="1" customWidth="1"/>
    <col min="25" max="16384" width="8.73046875" style="12"/>
  </cols>
  <sheetData>
    <row r="1" spans="1:12" ht="30" customHeight="1">
      <c r="A1" s="10"/>
      <c r="B1" s="74" t="e" vm="3">
        <v>#VALUE!</v>
      </c>
      <c r="C1" s="74"/>
      <c r="D1" s="75" t="s">
        <v>56</v>
      </c>
      <c r="E1" s="75"/>
      <c r="F1" s="75"/>
      <c r="G1" s="75"/>
      <c r="H1" s="75"/>
      <c r="I1" s="75"/>
      <c r="J1" s="75"/>
      <c r="K1" s="75"/>
      <c r="L1" s="10"/>
    </row>
    <row r="2" spans="1:12" ht="30" customHeight="1">
      <c r="A2" s="10"/>
      <c r="B2" s="74"/>
      <c r="C2" s="74"/>
      <c r="D2" s="75"/>
      <c r="E2" s="75"/>
      <c r="F2" s="75"/>
      <c r="G2" s="75"/>
      <c r="H2" s="75"/>
      <c r="I2" s="75"/>
      <c r="J2" s="75"/>
      <c r="K2" s="75"/>
      <c r="L2" s="10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>
      <c r="A4" s="11"/>
      <c r="B4" s="13" t="s">
        <v>58</v>
      </c>
      <c r="C4" s="76"/>
      <c r="D4" s="76"/>
      <c r="E4" s="11"/>
      <c r="F4" s="11"/>
      <c r="G4" s="11"/>
      <c r="H4" s="11"/>
      <c r="I4" s="11"/>
      <c r="J4" s="11"/>
      <c r="K4" s="11"/>
      <c r="L4" s="11"/>
    </row>
    <row r="5" spans="1:12" ht="15.75">
      <c r="A5" s="11"/>
      <c r="B5" s="14" t="s">
        <v>59</v>
      </c>
      <c r="C5" s="77"/>
      <c r="D5" s="77"/>
      <c r="E5" s="11"/>
      <c r="F5" s="11"/>
      <c r="G5" s="11"/>
      <c r="H5" s="11"/>
      <c r="I5" s="11"/>
      <c r="J5" s="11"/>
      <c r="K5" s="11"/>
      <c r="L5" s="11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5" t="s">
        <v>23</v>
      </c>
      <c r="C7" s="62" t="str">
        <f>C4&amp; "'s Inputs"</f>
        <v>'s Inputs</v>
      </c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6" t="s">
        <v>0</v>
      </c>
      <c r="C8" s="17">
        <v>1</v>
      </c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6" t="s">
        <v>21</v>
      </c>
      <c r="C9" s="18" t="s">
        <v>5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6" t="s">
        <v>55</v>
      </c>
      <c r="C10" s="19">
        <v>0.08</v>
      </c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/>
      <c r="B11" s="16" t="s">
        <v>35</v>
      </c>
      <c r="C11" s="19" t="s">
        <v>38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11"/>
      <c r="B12" s="16" t="s">
        <v>14</v>
      </c>
      <c r="C12" s="20">
        <v>0.03</v>
      </c>
      <c r="D12" s="11"/>
      <c r="E12" s="11"/>
      <c r="F12" s="69" t="s">
        <v>33</v>
      </c>
      <c r="G12" s="70"/>
      <c r="H12" s="70"/>
      <c r="I12" s="70"/>
      <c r="J12" s="71"/>
      <c r="K12" s="60" t="str">
        <f>C4&amp;" Specific"</f>
        <v xml:space="preserve"> Specific</v>
      </c>
      <c r="L12" s="11"/>
    </row>
    <row r="13" spans="1:12">
      <c r="A13" s="11"/>
      <c r="B13" s="16" t="s">
        <v>24</v>
      </c>
      <c r="C13" s="22">
        <v>0.17</v>
      </c>
      <c r="D13" s="11"/>
      <c r="E13" s="61" t="str">
        <f>C5&amp; "'s Plant Infrastructure"</f>
        <v>'s Plant Infrastructure</v>
      </c>
      <c r="F13" s="21">
        <v>1</v>
      </c>
      <c r="G13" s="21">
        <v>5</v>
      </c>
      <c r="H13" s="21">
        <v>10</v>
      </c>
      <c r="I13" s="21">
        <v>20</v>
      </c>
      <c r="J13" s="21">
        <v>40</v>
      </c>
      <c r="K13" s="60">
        <f>C8</f>
        <v>1</v>
      </c>
      <c r="L13" s="11"/>
    </row>
    <row r="14" spans="1:12">
      <c r="A14" s="11"/>
      <c r="B14" s="16" t="s">
        <v>22</v>
      </c>
      <c r="C14" s="23">
        <v>1500</v>
      </c>
      <c r="D14" s="11"/>
      <c r="E14" s="24" t="s">
        <v>11</v>
      </c>
      <c r="F14" s="46">
        <f>C14</f>
        <v>1500</v>
      </c>
      <c r="G14" s="46">
        <f>$F$14*G$13</f>
        <v>7500</v>
      </c>
      <c r="H14" s="46">
        <f>$F$14*H$13</f>
        <v>15000</v>
      </c>
      <c r="I14" s="46">
        <f>$F$14*I$13</f>
        <v>30000</v>
      </c>
      <c r="J14" s="46">
        <f>$F$14*J$13</f>
        <v>60000</v>
      </c>
      <c r="K14" s="46">
        <f>$F$14*K$13</f>
        <v>1500</v>
      </c>
      <c r="L14" s="11"/>
    </row>
    <row r="15" spans="1:12">
      <c r="A15" s="11"/>
      <c r="B15" s="16" t="s">
        <v>17</v>
      </c>
      <c r="C15" s="23">
        <v>750</v>
      </c>
      <c r="D15" s="11"/>
      <c r="E15" s="24" t="s">
        <v>32</v>
      </c>
      <c r="F15" s="46">
        <v>4000</v>
      </c>
      <c r="G15" s="46">
        <f>$F$15</f>
        <v>4000</v>
      </c>
      <c r="H15" s="46">
        <f>$F$15</f>
        <v>4000</v>
      </c>
      <c r="I15" s="46">
        <f>$F$15*2</f>
        <v>8000</v>
      </c>
      <c r="J15" s="46">
        <f>$F$15*4</f>
        <v>16000</v>
      </c>
      <c r="K15" s="46">
        <f>$F$15*(ROUNDUP(K13/10,0))</f>
        <v>4000</v>
      </c>
      <c r="L15" s="11"/>
    </row>
    <row r="16" spans="1:12">
      <c r="A16" s="11"/>
      <c r="B16" s="16" t="s">
        <v>52</v>
      </c>
      <c r="C16" s="23">
        <v>300</v>
      </c>
      <c r="D16" s="11"/>
      <c r="E16" s="24" t="s">
        <v>13</v>
      </c>
      <c r="F16" s="46">
        <f>C15*F13</f>
        <v>750</v>
      </c>
      <c r="G16" s="46">
        <f>$F$16*(G13*2)*0.17</f>
        <v>1275</v>
      </c>
      <c r="H16" s="46">
        <f t="shared" ref="H16:J16" si="0">$F$16*(H13*2)*0.17</f>
        <v>2550</v>
      </c>
      <c r="I16" s="46">
        <f t="shared" si="0"/>
        <v>5100</v>
      </c>
      <c r="J16" s="46">
        <f t="shared" si="0"/>
        <v>10200</v>
      </c>
      <c r="K16" s="46">
        <f t="shared" ref="K16" si="1">$F$16*(K13*2)*0.17</f>
        <v>255.00000000000003</v>
      </c>
      <c r="L16" s="11"/>
    </row>
    <row r="17" spans="1:12">
      <c r="A17" s="11"/>
      <c r="B17" s="16" t="s">
        <v>54</v>
      </c>
      <c r="C17" s="23">
        <v>0</v>
      </c>
      <c r="D17" s="11"/>
      <c r="E17" s="24" t="s">
        <v>16</v>
      </c>
      <c r="F17" s="46">
        <f>SUM(F14:F16)</f>
        <v>6250</v>
      </c>
      <c r="G17" s="46">
        <f t="shared" ref="G17:J17" si="2">SUM(G14:G16)</f>
        <v>12775</v>
      </c>
      <c r="H17" s="46">
        <f t="shared" si="2"/>
        <v>21550</v>
      </c>
      <c r="I17" s="46">
        <f t="shared" si="2"/>
        <v>43100</v>
      </c>
      <c r="J17" s="46">
        <f t="shared" si="2"/>
        <v>86200</v>
      </c>
      <c r="K17" s="46">
        <f t="shared" ref="K17" si="3">SUM(K14:K16)</f>
        <v>5755</v>
      </c>
      <c r="L17" s="11"/>
    </row>
    <row r="18" spans="1:12">
      <c r="A18" s="11"/>
      <c r="B18" s="11"/>
      <c r="C18" s="11"/>
      <c r="D18" s="11"/>
      <c r="E18" s="24" t="s">
        <v>15</v>
      </c>
      <c r="F18" s="47">
        <f t="shared" ref="F18:K18" si="4">F13*2*900</f>
        <v>1800</v>
      </c>
      <c r="G18" s="47">
        <f t="shared" si="4"/>
        <v>9000</v>
      </c>
      <c r="H18" s="47">
        <f t="shared" si="4"/>
        <v>18000</v>
      </c>
      <c r="I18" s="47">
        <f t="shared" si="4"/>
        <v>36000</v>
      </c>
      <c r="J18" s="47">
        <f t="shared" si="4"/>
        <v>72000</v>
      </c>
      <c r="K18" s="47">
        <f t="shared" si="4"/>
        <v>1800</v>
      </c>
      <c r="L18" s="11"/>
    </row>
    <row r="19" spans="1:12">
      <c r="A19" s="11"/>
      <c r="B19" s="15" t="s">
        <v>27</v>
      </c>
      <c r="C19" s="25" t="s">
        <v>26</v>
      </c>
      <c r="D19" s="11"/>
      <c r="E19" s="26" t="s">
        <v>18</v>
      </c>
      <c r="F19" s="48">
        <f>F18+SUM(F$14:F$16)</f>
        <v>8050</v>
      </c>
      <c r="G19" s="48">
        <f t="shared" ref="G19:J19" si="5">G18+SUM(G$14:G$16)</f>
        <v>21775</v>
      </c>
      <c r="H19" s="48">
        <f t="shared" si="5"/>
        <v>39550</v>
      </c>
      <c r="I19" s="48">
        <f t="shared" si="5"/>
        <v>79100</v>
      </c>
      <c r="J19" s="48">
        <f t="shared" si="5"/>
        <v>158200</v>
      </c>
      <c r="K19" s="48">
        <f t="shared" ref="K19" si="6">K18+SUM(K$14:K$16)</f>
        <v>7555</v>
      </c>
      <c r="L19" s="11"/>
    </row>
    <row r="20" spans="1:12">
      <c r="A20" s="11"/>
      <c r="B20" s="16" t="s">
        <v>25</v>
      </c>
      <c r="C20" s="49" cm="1">
        <f t="array" ref="C20">_xlfn.XLOOKUP($C$9,$F$27:$J$27,_xlfn.XLOOKUP($C$12,$E$28:$E$34,$F$28:$J$34))</f>
        <v>43911.868877465196</v>
      </c>
      <c r="D20" s="27"/>
      <c r="E20" s="53" t="str">
        <f>C4&amp; "'s Annualized Savings"</f>
        <v>'s Annualized Savings</v>
      </c>
      <c r="F20" s="48">
        <f>($C$21*F13*$C$13*2)</f>
        <v>1245.4028334670534</v>
      </c>
      <c r="G20" s="48">
        <f>$C$21*G13*$C$13*2</f>
        <v>6227.0141673352673</v>
      </c>
      <c r="H20" s="48">
        <f>$C$21*H13*$C$13*2</f>
        <v>12454.028334670535</v>
      </c>
      <c r="I20" s="48">
        <f>$C$21*I13*$C$13*2</f>
        <v>24908.056669341069</v>
      </c>
      <c r="J20" s="48">
        <f>$C$21*J13*$C$13*2</f>
        <v>49816.113338682138</v>
      </c>
      <c r="K20" s="48">
        <f>$C$21*K13*$C$13*2</f>
        <v>1245.4028334670534</v>
      </c>
      <c r="L20" s="11"/>
    </row>
    <row r="21" spans="1:12">
      <c r="A21" s="11"/>
      <c r="B21" s="16" t="s">
        <v>30</v>
      </c>
      <c r="C21" s="51">
        <f>(C20*C10)+(C16/2)</f>
        <v>3662.9495101972157</v>
      </c>
      <c r="D21" s="27"/>
      <c r="E21" s="28" t="s">
        <v>50</v>
      </c>
      <c r="F21" s="52">
        <f>F19/F$20</f>
        <v>6.4637720291592382</v>
      </c>
      <c r="G21" s="52">
        <f t="shared" ref="G21:J21" si="7">G19/G$20</f>
        <v>3.4968605201227922</v>
      </c>
      <c r="H21" s="52">
        <f t="shared" si="7"/>
        <v>3.1756793012825817</v>
      </c>
      <c r="I21" s="52">
        <f t="shared" si="7"/>
        <v>3.1756793012825817</v>
      </c>
      <c r="J21" s="52">
        <f t="shared" si="7"/>
        <v>3.1756793012825817</v>
      </c>
      <c r="K21" s="52">
        <f t="shared" ref="K21" si="8">K19/K$20</f>
        <v>6.0663102708444772</v>
      </c>
      <c r="L21" s="11"/>
    </row>
    <row r="22" spans="1:12">
      <c r="A22" s="11"/>
      <c r="B22" s="11"/>
      <c r="C22" s="11"/>
      <c r="D22" s="27"/>
      <c r="E22" s="11"/>
      <c r="F22" s="11"/>
      <c r="G22" s="11"/>
      <c r="H22" s="11"/>
      <c r="I22" s="11"/>
      <c r="J22" s="11"/>
      <c r="K22" s="11"/>
      <c r="L22" s="11"/>
    </row>
    <row r="23" spans="1:12">
      <c r="A23" s="11"/>
      <c r="B23" s="15" t="s">
        <v>28</v>
      </c>
      <c r="C23" s="15" t="s">
        <v>26</v>
      </c>
      <c r="D23" s="11"/>
      <c r="E23" s="29" t="str">
        <f>C5&amp; "'s Plant Infrastructure Per Evap"</f>
        <v>'s Plant Infrastructure Per Evap</v>
      </c>
      <c r="F23" s="54">
        <f t="shared" ref="F23:K23" si="9">SUM(F14:F16)/F13</f>
        <v>6250</v>
      </c>
      <c r="G23" s="54">
        <f t="shared" si="9"/>
        <v>2555</v>
      </c>
      <c r="H23" s="54">
        <f t="shared" si="9"/>
        <v>2155</v>
      </c>
      <c r="I23" s="54">
        <f t="shared" si="9"/>
        <v>2155</v>
      </c>
      <c r="J23" s="54">
        <f t="shared" si="9"/>
        <v>2155</v>
      </c>
      <c r="K23" s="54">
        <f t="shared" si="9"/>
        <v>5755</v>
      </c>
      <c r="L23" s="11"/>
    </row>
    <row r="24" spans="1:12">
      <c r="A24" s="11"/>
      <c r="B24" s="30" t="s">
        <v>29</v>
      </c>
      <c r="C24" s="55">
        <f>$C$20*$C$8*2*$C$13</f>
        <v>14930.035418338168</v>
      </c>
      <c r="D24" s="11"/>
      <c r="E24" s="29" t="s">
        <v>19</v>
      </c>
      <c r="F24" s="54">
        <f>F19/(F$13*F13)</f>
        <v>8050</v>
      </c>
      <c r="G24" s="54">
        <f>G19/G$13</f>
        <v>4355</v>
      </c>
      <c r="H24" s="54">
        <f>H19/H$13</f>
        <v>3955</v>
      </c>
      <c r="I24" s="54">
        <f>I19/I$13</f>
        <v>3955</v>
      </c>
      <c r="J24" s="54">
        <f>J19/J$13</f>
        <v>3955</v>
      </c>
      <c r="K24" s="54">
        <f>K19/K$13</f>
        <v>7555</v>
      </c>
      <c r="L24" s="11"/>
    </row>
    <row r="25" spans="1:12">
      <c r="A25" s="11"/>
      <c r="B25" s="30" t="s">
        <v>53</v>
      </c>
      <c r="C25" s="55">
        <f>C24*0.000699</f>
        <v>10.436094757418379</v>
      </c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11"/>
      <c r="B26" s="16" t="s">
        <v>31</v>
      </c>
      <c r="C26" s="51">
        <f>C10*C24</f>
        <v>1194.4028334670534</v>
      </c>
      <c r="D26" s="11"/>
      <c r="E26" s="21" t="s">
        <v>1</v>
      </c>
      <c r="F26" s="72" t="s">
        <v>2</v>
      </c>
      <c r="G26" s="72"/>
      <c r="H26" s="72"/>
      <c r="I26" s="72"/>
      <c r="J26" s="72"/>
      <c r="K26" s="11"/>
      <c r="L26" s="11"/>
    </row>
    <row r="27" spans="1:12">
      <c r="A27" s="11"/>
      <c r="B27" s="16" t="s">
        <v>51</v>
      </c>
      <c r="C27" s="51">
        <f>C8*C16</f>
        <v>300</v>
      </c>
      <c r="D27" s="11"/>
      <c r="E27" s="21" t="s">
        <v>14</v>
      </c>
      <c r="F27" s="31" t="s">
        <v>3</v>
      </c>
      <c r="G27" s="31" t="s">
        <v>4</v>
      </c>
      <c r="H27" s="31" t="s">
        <v>5</v>
      </c>
      <c r="I27" s="31" t="s">
        <v>6</v>
      </c>
      <c r="J27" s="31" t="s">
        <v>7</v>
      </c>
      <c r="K27" s="11"/>
      <c r="L27" s="11"/>
    </row>
    <row r="28" spans="1:12">
      <c r="A28" s="11"/>
      <c r="B28" s="11"/>
      <c r="C28" s="11"/>
      <c r="D28" s="11"/>
      <c r="E28" s="32">
        <v>0.01</v>
      </c>
      <c r="F28" s="49">
        <f>$C$41*25095.2194866427</f>
        <v>25095.219486642702</v>
      </c>
      <c r="G28" s="49">
        <f>$C$41*19532.7439429106</f>
        <v>19532.743942910602</v>
      </c>
      <c r="H28" s="49">
        <f>$C$41*14665.6960015522</f>
        <v>14665.6960015522</v>
      </c>
      <c r="I28" s="49">
        <f>$C$41*10275.8031174641</f>
        <v>10275.8031174641</v>
      </c>
      <c r="J28" s="49">
        <f>$C$41*6255.27634262548</f>
        <v>6255.2763426254796</v>
      </c>
      <c r="K28" s="11"/>
      <c r="L28" s="11"/>
    </row>
    <row r="29" spans="1:12">
      <c r="A29" s="11"/>
      <c r="B29" s="15" t="s">
        <v>34</v>
      </c>
      <c r="C29" s="15" t="s">
        <v>43</v>
      </c>
      <c r="D29" s="11"/>
      <c r="E29" s="32">
        <v>0.03</v>
      </c>
      <c r="F29" s="49">
        <f>$C$41*75099.8198699102</f>
        <v>75099.819869910207</v>
      </c>
      <c r="G29" s="49">
        <f>$C$41*58466.3271621302</f>
        <v>58466.327162130197</v>
      </c>
      <c r="H29" s="49">
        <f>$C$41*43911.8688774652</f>
        <v>43911.868877465196</v>
      </c>
      <c r="I29" s="49">
        <f>$C$41*30780.8121008057</f>
        <v>30780.812100805699</v>
      </c>
      <c r="J29" s="49">
        <f>$C$41*18747.5184962802</f>
        <v>18747.518496280201</v>
      </c>
      <c r="K29" s="11"/>
      <c r="L29" s="11"/>
    </row>
    <row r="30" spans="1:12">
      <c r="A30" s="11"/>
      <c r="B30" s="33" t="s">
        <v>36</v>
      </c>
      <c r="C30" s="34">
        <v>3.3</v>
      </c>
      <c r="D30" s="11"/>
      <c r="E30" s="32">
        <v>0.05</v>
      </c>
      <c r="F30" s="49">
        <f>$C$41*124852.94576225</f>
        <v>124852.94576225</v>
      </c>
      <c r="G30" s="49">
        <f>$C$41*97221.4186112534</f>
        <v>97221.418611253393</v>
      </c>
      <c r="H30" s="49">
        <f>$C$41*73042.7242801577</f>
        <v>73042.724280157694</v>
      </c>
      <c r="I30" s="49">
        <f>$C$41*51222.7662572667</f>
        <v>51222.766257266703</v>
      </c>
      <c r="J30" s="49">
        <f>$C$41*31214.9830641206</f>
        <v>31214.983064120599</v>
      </c>
      <c r="K30" s="11"/>
      <c r="L30" s="11"/>
    </row>
    <row r="31" spans="1:12">
      <c r="A31" s="11"/>
      <c r="B31" s="35" t="s">
        <v>37</v>
      </c>
      <c r="C31" s="36">
        <v>6.4</v>
      </c>
      <c r="D31" s="11"/>
      <c r="E31" s="32">
        <v>0.1</v>
      </c>
      <c r="F31" s="49">
        <f>$C$41*248109.832279302</f>
        <v>248109.83227930201</v>
      </c>
      <c r="G31" s="49">
        <f>$C$41*193309.984984477</f>
        <v>193309.98498447699</v>
      </c>
      <c r="H31" s="49">
        <f>$C$41*145353.551187393</f>
        <v>145353.55118739299</v>
      </c>
      <c r="I31" s="49">
        <f>$C$41*102045.335902041</f>
        <v>102045.335902041</v>
      </c>
      <c r="J31" s="49">
        <f>$C$41*62272.7076533687</f>
        <v>62272.7076533687</v>
      </c>
      <c r="K31" s="11"/>
      <c r="L31" s="11"/>
    </row>
    <row r="32" spans="1:12">
      <c r="A32" s="11"/>
      <c r="B32" s="33" t="s">
        <v>38</v>
      </c>
      <c r="C32" s="34">
        <v>11.7</v>
      </c>
      <c r="D32" s="11"/>
      <c r="E32" s="32">
        <v>0.15</v>
      </c>
      <c r="F32" s="49">
        <f>$C$41*369716.149618002</f>
        <v>369716.149618002</v>
      </c>
      <c r="G32" s="49">
        <f>$C$41*288227.00901468</f>
        <v>288227.00901467999</v>
      </c>
      <c r="H32" s="49">
        <f>$C$41*216907.484358325</f>
        <v>216907.48435832499</v>
      </c>
      <c r="I32" s="49">
        <f>$C$41*152454.041089184</f>
        <v>152454.041089184</v>
      </c>
      <c r="J32" s="49">
        <f>$C$41*93167.8029464674</f>
        <v>93167.802946467404</v>
      </c>
      <c r="K32" s="11"/>
      <c r="L32" s="11"/>
    </row>
    <row r="33" spans="1:12">
      <c r="A33" s="11"/>
      <c r="B33" s="35" t="s">
        <v>39</v>
      </c>
      <c r="C33" s="36">
        <v>16.399999999999999</v>
      </c>
      <c r="D33" s="11"/>
      <c r="E33" s="32">
        <v>0.2</v>
      </c>
      <c r="F33" s="49">
        <f>$C$41*489432</f>
        <v>489432</v>
      </c>
      <c r="G33" s="49">
        <f>$C$41*381941</f>
        <v>381941</v>
      </c>
      <c r="H33" s="49">
        <f>$C$41*287684</f>
        <v>287684</v>
      </c>
      <c r="I33" s="49">
        <f>$C$41*202438</f>
        <v>202438</v>
      </c>
      <c r="J33" s="49">
        <f>$C$41*123896</f>
        <v>123896</v>
      </c>
      <c r="K33" s="11"/>
      <c r="L33" s="11"/>
    </row>
    <row r="34" spans="1:12">
      <c r="A34" s="11"/>
      <c r="B34" s="33" t="s">
        <v>40</v>
      </c>
      <c r="C34" s="34">
        <v>35</v>
      </c>
      <c r="D34" s="11"/>
      <c r="E34" s="32">
        <v>0.25</v>
      </c>
      <c r="F34" s="49">
        <f>$C$41*607243</f>
        <v>607243</v>
      </c>
      <c r="G34" s="49">
        <f>$C$41*474426</f>
        <v>474426</v>
      </c>
      <c r="H34" s="49">
        <f>$C$41*357667</f>
        <v>357667</v>
      </c>
      <c r="I34" s="49">
        <f>$C$41*251987</f>
        <v>251987</v>
      </c>
      <c r="J34" s="49">
        <f>$C$41*154453</f>
        <v>154453</v>
      </c>
      <c r="K34" s="11"/>
      <c r="L34" s="11"/>
    </row>
    <row r="35" spans="1:12">
      <c r="A35" s="11"/>
      <c r="B35" s="35" t="s">
        <v>41</v>
      </c>
      <c r="C35" s="36">
        <v>47</v>
      </c>
      <c r="D35" s="11"/>
      <c r="E35" s="37" t="s">
        <v>49</v>
      </c>
      <c r="F35" s="56">
        <f>F31/$H31</f>
        <v>1.7069402863053091</v>
      </c>
      <c r="G35" s="56">
        <f>G31/$H31</f>
        <v>1.3299295641924669</v>
      </c>
      <c r="H35" s="56">
        <f>H31/$H31</f>
        <v>1</v>
      </c>
      <c r="I35" s="56">
        <f>I31/$H31</f>
        <v>0.70204914202943625</v>
      </c>
      <c r="J35" s="56">
        <f>J31/$H31</f>
        <v>0.42842233398952434</v>
      </c>
      <c r="K35" s="11"/>
      <c r="L35" s="11"/>
    </row>
    <row r="36" spans="1:12">
      <c r="A36" s="11"/>
      <c r="B36" s="33" t="s">
        <v>42</v>
      </c>
      <c r="C36" s="34">
        <v>77</v>
      </c>
      <c r="D36" s="11"/>
      <c r="E36" s="11"/>
      <c r="F36" s="11"/>
      <c r="G36" s="11"/>
      <c r="H36" s="11"/>
      <c r="I36" s="11"/>
      <c r="J36" s="11"/>
      <c r="K36" s="11"/>
      <c r="L36" s="11"/>
    </row>
    <row r="37" spans="1:12">
      <c r="A37" s="11"/>
      <c r="B37" s="35" t="s">
        <v>44</v>
      </c>
      <c r="C37" s="36">
        <v>104</v>
      </c>
      <c r="D37" s="11"/>
      <c r="E37" s="11"/>
      <c r="F37" s="11"/>
      <c r="G37" s="11"/>
      <c r="H37" s="11"/>
      <c r="I37" s="11"/>
      <c r="J37" s="11"/>
      <c r="K37" s="11"/>
      <c r="L37" s="11"/>
    </row>
    <row r="38" spans="1:12">
      <c r="A38" s="11"/>
      <c r="B38" s="33" t="s">
        <v>45</v>
      </c>
      <c r="C38" s="34">
        <v>166</v>
      </c>
      <c r="D38" s="11"/>
      <c r="E38" s="11"/>
      <c r="F38" s="11"/>
      <c r="G38" s="11"/>
      <c r="H38" s="11"/>
      <c r="I38" s="11"/>
      <c r="J38" s="11"/>
      <c r="K38" s="11"/>
      <c r="L38" s="11"/>
    </row>
    <row r="39" spans="1:12">
      <c r="A39" s="11"/>
      <c r="B39" s="35" t="s">
        <v>46</v>
      </c>
      <c r="C39" s="36">
        <v>242</v>
      </c>
      <c r="D39" s="11"/>
      <c r="E39" s="11"/>
      <c r="F39" s="11"/>
      <c r="G39" s="11"/>
      <c r="H39" s="11"/>
      <c r="I39" s="11"/>
      <c r="J39" s="11"/>
      <c r="K39" s="11"/>
      <c r="L39" s="11"/>
    </row>
    <row r="40" spans="1:12">
      <c r="A40" s="11"/>
      <c r="B40" s="33" t="s">
        <v>47</v>
      </c>
      <c r="C40" s="34">
        <v>413</v>
      </c>
      <c r="D40" s="11"/>
      <c r="E40" s="57" t="str">
        <f>C4&amp;"'s Cumm. Savings"</f>
        <v>'s Cumm. Savings</v>
      </c>
      <c r="F40" s="73" t="s">
        <v>8</v>
      </c>
      <c r="G40" s="73"/>
      <c r="H40" s="73"/>
      <c r="I40" s="73"/>
      <c r="J40" s="38" t="s">
        <v>20</v>
      </c>
      <c r="K40" s="58">
        <f>K13</f>
        <v>1</v>
      </c>
      <c r="L40" s="11"/>
    </row>
    <row r="41" spans="1:12" ht="28.5">
      <c r="A41" s="11"/>
      <c r="B41" s="39" t="s">
        <v>48</v>
      </c>
      <c r="C41" s="59">
        <f>(VLOOKUP($C$11,$B$30:$C$40,2)/11.7)</f>
        <v>1</v>
      </c>
      <c r="D41" s="11"/>
      <c r="E41" s="40" t="s">
        <v>9</v>
      </c>
      <c r="F41" s="41">
        <v>0.05</v>
      </c>
      <c r="G41" s="41">
        <v>0.1</v>
      </c>
      <c r="H41" s="41">
        <v>0.17</v>
      </c>
      <c r="I41" s="41">
        <v>0.2</v>
      </c>
      <c r="J41" s="41" t="s">
        <v>10</v>
      </c>
      <c r="K41" s="41" t="s">
        <v>12</v>
      </c>
      <c r="L41" s="11"/>
    </row>
    <row r="42" spans="1:12">
      <c r="A42" s="11"/>
      <c r="B42" s="11"/>
      <c r="C42" s="11"/>
      <c r="D42" s="11"/>
      <c r="E42" s="42">
        <v>0</v>
      </c>
      <c r="F42" s="43">
        <v>0</v>
      </c>
      <c r="G42" s="43">
        <v>0</v>
      </c>
      <c r="H42" s="43">
        <v>0</v>
      </c>
      <c r="I42" s="43">
        <v>0</v>
      </c>
      <c r="J42" s="50">
        <f>K23</f>
        <v>5755</v>
      </c>
      <c r="K42" s="46">
        <f>K24</f>
        <v>7555</v>
      </c>
      <c r="L42" s="11"/>
    </row>
    <row r="43" spans="1:12">
      <c r="A43" s="11"/>
      <c r="B43" s="11"/>
      <c r="C43" s="11"/>
      <c r="D43" s="11"/>
      <c r="E43" s="44">
        <v>1</v>
      </c>
      <c r="F43" s="46">
        <f t="shared" ref="F43:I47" si="10">($C$21*F$41)*$E43*2</f>
        <v>366.29495101972157</v>
      </c>
      <c r="G43" s="46">
        <f t="shared" si="10"/>
        <v>732.58990203944313</v>
      </c>
      <c r="H43" s="46">
        <f t="shared" si="10"/>
        <v>1245.4028334670534</v>
      </c>
      <c r="I43" s="46">
        <f t="shared" si="10"/>
        <v>1465.1798040788863</v>
      </c>
      <c r="J43" s="46">
        <f>$J$42</f>
        <v>5755</v>
      </c>
      <c r="K43" s="46">
        <f>$K$42</f>
        <v>7555</v>
      </c>
      <c r="L43" s="11"/>
    </row>
    <row r="44" spans="1:12">
      <c r="A44" s="11"/>
      <c r="B44" s="11"/>
      <c r="C44" s="11"/>
      <c r="D44" s="11"/>
      <c r="E44" s="44">
        <v>2</v>
      </c>
      <c r="F44" s="46">
        <f t="shared" si="10"/>
        <v>732.58990203944313</v>
      </c>
      <c r="G44" s="46">
        <f t="shared" si="10"/>
        <v>1465.1798040788863</v>
      </c>
      <c r="H44" s="46">
        <f t="shared" si="10"/>
        <v>2490.8056669341067</v>
      </c>
      <c r="I44" s="46">
        <f t="shared" si="10"/>
        <v>2930.3596081577725</v>
      </c>
      <c r="J44" s="46">
        <f>$J$42</f>
        <v>5755</v>
      </c>
      <c r="K44" s="46">
        <f>$K$42</f>
        <v>7555</v>
      </c>
      <c r="L44" s="11"/>
    </row>
    <row r="45" spans="1:12">
      <c r="A45" s="11"/>
      <c r="B45" s="11"/>
      <c r="C45" s="11"/>
      <c r="D45" s="11"/>
      <c r="E45" s="44">
        <v>3</v>
      </c>
      <c r="F45" s="46">
        <f t="shared" si="10"/>
        <v>1098.8848530591647</v>
      </c>
      <c r="G45" s="46">
        <f t="shared" si="10"/>
        <v>2197.7697061183294</v>
      </c>
      <c r="H45" s="46">
        <f t="shared" si="10"/>
        <v>3736.2085004011601</v>
      </c>
      <c r="I45" s="46">
        <f t="shared" si="10"/>
        <v>4395.5394122366588</v>
      </c>
      <c r="J45" s="46">
        <f>$J$42</f>
        <v>5755</v>
      </c>
      <c r="K45" s="46">
        <f>$K$42</f>
        <v>7555</v>
      </c>
      <c r="L45" s="11"/>
    </row>
    <row r="46" spans="1:12">
      <c r="A46" s="11"/>
      <c r="B46" s="11"/>
      <c r="C46" s="11"/>
      <c r="D46" s="11"/>
      <c r="E46" s="44">
        <v>4</v>
      </c>
      <c r="F46" s="46">
        <f t="shared" si="10"/>
        <v>1465.1798040788863</v>
      </c>
      <c r="G46" s="46">
        <f t="shared" si="10"/>
        <v>2930.3596081577725</v>
      </c>
      <c r="H46" s="46">
        <f t="shared" si="10"/>
        <v>4981.6113338682135</v>
      </c>
      <c r="I46" s="46">
        <f t="shared" si="10"/>
        <v>5860.7192163155451</v>
      </c>
      <c r="J46" s="46">
        <f>$J$42</f>
        <v>5755</v>
      </c>
      <c r="K46" s="46">
        <f>$K$42</f>
        <v>7555</v>
      </c>
      <c r="L46" s="11"/>
    </row>
    <row r="47" spans="1:12">
      <c r="A47" s="11"/>
      <c r="B47" s="11"/>
      <c r="C47" s="11"/>
      <c r="D47" s="45"/>
      <c r="E47" s="44">
        <v>5</v>
      </c>
      <c r="F47" s="46">
        <f t="shared" si="10"/>
        <v>1831.4747550986078</v>
      </c>
      <c r="G47" s="46">
        <f t="shared" si="10"/>
        <v>3662.9495101972157</v>
      </c>
      <c r="H47" s="46">
        <f t="shared" si="10"/>
        <v>6227.0141673352664</v>
      </c>
      <c r="I47" s="46">
        <f t="shared" si="10"/>
        <v>7325.8990203944313</v>
      </c>
      <c r="J47" s="46">
        <f>$J$42</f>
        <v>5755</v>
      </c>
      <c r="K47" s="46">
        <f>$K$42</f>
        <v>7555</v>
      </c>
      <c r="L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</sheetData>
  <sheetProtection selectLockedCells="1"/>
  <mergeCells count="7">
    <mergeCell ref="F12:J12"/>
    <mergeCell ref="F26:J26"/>
    <mergeCell ref="F40:I40"/>
    <mergeCell ref="B1:C2"/>
    <mergeCell ref="D1:K2"/>
    <mergeCell ref="C4:D4"/>
    <mergeCell ref="C5:D5"/>
  </mergeCells>
  <dataValidations count="3">
    <dataValidation type="list" allowBlank="1" showInputMessage="1" showErrorMessage="1" sqref="C9" xr:uid="{7C9B7A4C-1AF3-4A17-8A5E-5A7A3DD85CF0}">
      <formula1>$F$27:$J$27</formula1>
    </dataValidation>
    <dataValidation type="list" allowBlank="1" showInputMessage="1" showErrorMessage="1" sqref="C12" xr:uid="{34170A67-E1C3-4BFC-8FF9-64B8BA74B3CC}">
      <formula1>$E$28:$E$34</formula1>
    </dataValidation>
    <dataValidation type="list" allowBlank="1" showInputMessage="1" showErrorMessage="1" sqref="C11" xr:uid="{07F05D3D-4456-4B1D-9396-E484C69329D8}">
      <formula1>$B$30:$B$39</formula1>
    </dataValidation>
  </dataValidations>
  <hyperlinks>
    <hyperlink ref="K41" r:id="rId1" display="Sentinel@$900/Unit" xr:uid="{9750E57A-8AD7-429E-8777-65CED3ED06F3}"/>
  </hyperlinks>
  <pageMargins left="0.7" right="0.7" top="0.75" bottom="0.75" header="0.3" footer="0.3"/>
  <pageSetup scale="57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A28D401D58EF458519C7E12831DABA" ma:contentTypeVersion="15" ma:contentTypeDescription="Create a new document." ma:contentTypeScope="" ma:versionID="d320a5ffda30f774d2bd43c6f4ddd0f8">
  <xsd:schema xmlns:xsd="http://www.w3.org/2001/XMLSchema" xmlns:xs="http://www.w3.org/2001/XMLSchema" xmlns:p="http://schemas.microsoft.com/office/2006/metadata/properties" xmlns:ns2="00105457-f59d-4dbb-8c89-166743b790b5" xmlns:ns3="34957677-f8fe-4b9f-a2f4-b552fdac9cf4" targetNamespace="http://schemas.microsoft.com/office/2006/metadata/properties" ma:root="true" ma:fieldsID="df4432ad5b78fcf23af481525755bd40" ns2:_="" ns3:_="">
    <xsd:import namespace="00105457-f59d-4dbb-8c89-166743b790b5"/>
    <xsd:import namespace="34957677-f8fe-4b9f-a2f4-b552fdac9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5457-f59d-4dbb-8c89-166743b79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0d78b3-b227-403c-8964-f74555c7f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57677-f8fe-4b9f-a2f4-b552fdac9c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d94cf63-cef0-4483-aeeb-cbfd150836d6}" ma:internalName="TaxCatchAll" ma:showField="CatchAllData" ma:web="34957677-f8fe-4b9f-a2f4-b552fdac9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105457-f59d-4dbb-8c89-166743b790b5">
      <Terms xmlns="http://schemas.microsoft.com/office/infopath/2007/PartnerControls"/>
    </lcf76f155ced4ddcb4097134ff3c332f>
    <TaxCatchAll xmlns="34957677-f8fe-4b9f-a2f4-b552fdac9cf4" xsi:nil="true"/>
  </documentManagement>
</p:properties>
</file>

<file path=customXml/itemProps1.xml><?xml version="1.0" encoding="utf-8"?>
<ds:datastoreItem xmlns:ds="http://schemas.openxmlformats.org/officeDocument/2006/customXml" ds:itemID="{195C91E0-F538-421F-8B27-E81431A31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101AF-D573-4BAA-8BCD-3B731032C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05457-f59d-4dbb-8c89-166743b790b5"/>
    <ds:schemaRef ds:uri="34957677-f8fe-4b9f-a2f4-b552fdac9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FAC44-A59D-40D5-819D-4A87ED7E0912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34957677-f8fe-4b9f-a2f4-b552fdac9cf4"/>
    <ds:schemaRef ds:uri="00105457-f59d-4dbb-8c89-166743b790b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ROI Model</vt:lpstr>
      <vt:lpstr>ROI Chart</vt:lpstr>
      <vt:lpstr>Temperature Chart</vt:lpstr>
      <vt:lpstr>Instructions!Print_Area</vt:lpstr>
      <vt:lpstr>'ROI Model'!Print_Area</vt:lpstr>
      <vt:lpstr>zzMG_Chart1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Streicher</dc:creator>
  <cp:lastModifiedBy>Harold Streicher</cp:lastModifiedBy>
  <cp:lastPrinted>2025-01-06T20:02:35Z</cp:lastPrinted>
  <dcterms:created xsi:type="dcterms:W3CDTF">2024-08-22T18:19:41Z</dcterms:created>
  <dcterms:modified xsi:type="dcterms:W3CDTF">2025-05-13T23:53:22Z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0x010100B5A28D401D58EF458519C7E12831DABA</vt:lpwstr>
  </property>
</Properties>
</file>